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UDE MAP\204590\00. Bestanden divers\999. Berekening tarieven 2018\Behandeling -J&amp;O\"/>
    </mc:Choice>
  </mc:AlternateContent>
  <bookViews>
    <workbookView xWindow="360" yWindow="465" windowWidth="15525" windowHeight="13740"/>
  </bookViews>
  <sheets>
    <sheet name="Berekeningen" sheetId="1" r:id="rId1"/>
    <sheet name="Gegevens" sheetId="9" r:id="rId2"/>
  </sheets>
  <definedNames>
    <definedName name="_xlnm.Print_Area" localSheetId="0">Berekeningen!$A$1:$BO$38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6" i="9" l="1"/>
  <c r="A45" i="9"/>
  <c r="A43" i="9"/>
  <c r="A41" i="9"/>
  <c r="A39" i="9"/>
  <c r="A38" i="9"/>
  <c r="A42" i="9" s="1"/>
  <c r="A36" i="9"/>
  <c r="A34" i="9"/>
  <c r="A32" i="9"/>
  <c r="A31" i="9"/>
  <c r="A35" i="9" s="1"/>
  <c r="A25" i="9"/>
  <c r="C12" i="9" s="1"/>
  <c r="A24" i="9"/>
  <c r="A26" i="9" s="1"/>
  <c r="A18" i="9"/>
  <c r="E12" i="9" s="1"/>
  <c r="A17" i="9"/>
  <c r="G12" i="9"/>
  <c r="D12" i="9"/>
  <c r="G11" i="9"/>
  <c r="E11" i="9"/>
  <c r="D11" i="9"/>
  <c r="BG8" i="9"/>
  <c r="AL7" i="9"/>
  <c r="AL6" i="9"/>
  <c r="BA5" i="9"/>
  <c r="AW4" i="9"/>
  <c r="AW8" i="9" s="1"/>
  <c r="AQ4" i="9"/>
  <c r="AQ5" i="9" s="1"/>
  <c r="AM4" i="9"/>
  <c r="AM8" i="9" s="1"/>
  <c r="AG4" i="9"/>
  <c r="AG5" i="9" s="1"/>
  <c r="A27" i="9" l="1"/>
  <c r="A29" i="9"/>
  <c r="A19" i="9"/>
  <c r="A28" i="9"/>
  <c r="A20" i="9"/>
  <c r="A21" i="9"/>
  <c r="A40" i="9"/>
  <c r="A22" i="9"/>
  <c r="A33" i="9"/>
  <c r="C11" i="9"/>
  <c r="L38" i="1"/>
  <c r="M38" i="1" s="1"/>
  <c r="E18" i="1"/>
  <c r="E19" i="1" s="1"/>
  <c r="E20" i="1" s="1"/>
  <c r="D18" i="1"/>
  <c r="C18" i="1"/>
  <c r="E14" i="1"/>
  <c r="D14" i="1"/>
  <c r="C14" i="1"/>
  <c r="P38" i="1"/>
  <c r="Q38" i="1" s="1"/>
  <c r="I18" i="1"/>
  <c r="I19" i="1" s="1"/>
  <c r="H18" i="1"/>
  <c r="G18" i="1"/>
  <c r="I5" i="9" s="1"/>
  <c r="I14" i="1"/>
  <c r="H14" i="1"/>
  <c r="G14" i="1"/>
  <c r="C19" i="1" l="1"/>
  <c r="C20" i="1" s="1"/>
  <c r="G20" i="1"/>
  <c r="I20" i="1"/>
  <c r="D19" i="1"/>
  <c r="D20" i="1" s="1"/>
  <c r="H19" i="1"/>
  <c r="H20" i="1" s="1"/>
  <c r="AK31" i="1" l="1"/>
  <c r="AE31" i="1"/>
  <c r="AA14" i="1"/>
  <c r="AA18" i="1"/>
  <c r="AA19" i="1" s="1"/>
  <c r="AA20" i="1" s="1"/>
  <c r="AB14" i="1"/>
  <c r="AB18" i="1"/>
  <c r="AB19" i="1" s="1"/>
  <c r="AB20" i="1" s="1"/>
  <c r="AC14" i="1"/>
  <c r="AC18" i="1"/>
  <c r="AC19" i="1" s="1"/>
  <c r="AC20" i="1" s="1"/>
  <c r="AA31" i="1"/>
  <c r="BE18" i="1"/>
  <c r="BE19" i="1" s="1"/>
  <c r="BF18" i="1"/>
  <c r="BF19" i="1" s="1"/>
  <c r="BG18" i="1"/>
  <c r="BE31" i="1"/>
  <c r="AY18" i="1"/>
  <c r="AY19" i="1" s="1"/>
  <c r="AZ18" i="1"/>
  <c r="AZ19" i="1" s="1"/>
  <c r="BA18" i="1"/>
  <c r="BA19" i="1" s="1"/>
  <c r="BA20" i="1" s="1"/>
  <c r="AY31" i="1"/>
  <c r="AO18" i="1"/>
  <c r="AO19" i="1" s="1"/>
  <c r="AP18" i="1"/>
  <c r="AP19" i="1" s="1"/>
  <c r="AQ18" i="1"/>
  <c r="AQ19" i="1" s="1"/>
  <c r="AQ20" i="1" s="1"/>
  <c r="AO31" i="1"/>
  <c r="AU18" i="1"/>
  <c r="AU19" i="1" s="1"/>
  <c r="AV18" i="1"/>
  <c r="AV19" i="1" s="1"/>
  <c r="AW18" i="1"/>
  <c r="AU31" i="1"/>
  <c r="AE18" i="1"/>
  <c r="AE19" i="1" s="1"/>
  <c r="AF18" i="1"/>
  <c r="AF19" i="1" s="1"/>
  <c r="AG18" i="1"/>
  <c r="AG19" i="1" s="1"/>
  <c r="AE29" i="1"/>
  <c r="AK18" i="1"/>
  <c r="AK19" i="1" s="1"/>
  <c r="AL18" i="1"/>
  <c r="AL19" i="1" s="1"/>
  <c r="AL20" i="1" s="1"/>
  <c r="AM18" i="1"/>
  <c r="AK29" i="1"/>
  <c r="W14" i="1"/>
  <c r="W18" i="1"/>
  <c r="W19" i="1" s="1"/>
  <c r="W20" i="1" s="1"/>
  <c r="X14" i="1"/>
  <c r="X18" i="1"/>
  <c r="Y14" i="1"/>
  <c r="Y18" i="1"/>
  <c r="Y19" i="1" s="1"/>
  <c r="W31" i="1"/>
  <c r="K14" i="1"/>
  <c r="K18" i="1"/>
  <c r="K19" i="1" s="1"/>
  <c r="K20" i="1" s="1"/>
  <c r="L14" i="1"/>
  <c r="L18" i="1"/>
  <c r="L19" i="1" s="1"/>
  <c r="M14" i="1"/>
  <c r="M18" i="1"/>
  <c r="M19" i="1" s="1"/>
  <c r="M20" i="1" s="1"/>
  <c r="O14" i="1"/>
  <c r="O18" i="1"/>
  <c r="O19" i="1" s="1"/>
  <c r="O20" i="1" s="1"/>
  <c r="P14" i="1"/>
  <c r="P18" i="1"/>
  <c r="P19" i="1" s="1"/>
  <c r="Q14" i="1"/>
  <c r="Q18" i="1"/>
  <c r="Q19" i="1" s="1"/>
  <c r="Q20" i="1" s="1"/>
  <c r="U14" i="1"/>
  <c r="U18" i="1"/>
  <c r="U19" i="1" s="1"/>
  <c r="U20" i="1" s="1"/>
  <c r="X38" i="1"/>
  <c r="Y38" i="1" s="1"/>
  <c r="T38" i="1"/>
  <c r="U38" i="1" s="1"/>
  <c r="H38" i="1"/>
  <c r="I38" i="1" s="1"/>
  <c r="D38" i="1"/>
  <c r="E38" i="1" s="1"/>
  <c r="AX18" i="1"/>
  <c r="AS18" i="1"/>
  <c r="AN18" i="1"/>
  <c r="AI18" i="1"/>
  <c r="T18" i="1"/>
  <c r="S18" i="1"/>
  <c r="S20" i="1" s="1"/>
  <c r="AX8" i="1"/>
  <c r="AN8" i="1"/>
  <c r="S4" i="9" l="1"/>
  <c r="G4" i="9"/>
  <c r="BF20" i="1"/>
  <c r="AM19" i="1"/>
  <c r="AM20" i="1" s="1"/>
  <c r="AP20" i="1"/>
  <c r="AZ20" i="1"/>
  <c r="P20" i="1"/>
  <c r="AV20" i="1"/>
  <c r="Y20" i="1"/>
  <c r="G6" i="1"/>
  <c r="AU6" i="1"/>
  <c r="AU15" i="1" s="1"/>
  <c r="W6" i="1"/>
  <c r="AE6" i="1"/>
  <c r="AE15" i="1" s="1"/>
  <c r="K6" i="1"/>
  <c r="K8" i="1" s="1"/>
  <c r="BE6" i="1"/>
  <c r="AO6" i="1"/>
  <c r="AO8" i="1" s="1"/>
  <c r="AK6" i="1"/>
  <c r="AK8" i="1" s="1"/>
  <c r="O6" i="1"/>
  <c r="O8" i="1" s="1"/>
  <c r="AA6" i="1"/>
  <c r="AA7" i="1" s="1"/>
  <c r="AY6" i="1"/>
  <c r="AY15" i="1" s="1"/>
  <c r="C6" i="1"/>
  <c r="L20" i="1"/>
  <c r="BE20" i="1"/>
  <c r="X19" i="1"/>
  <c r="X20" i="1" s="1"/>
  <c r="AW19" i="1"/>
  <c r="AW20" i="1" s="1"/>
  <c r="BG19" i="1"/>
  <c r="BG20" i="1" s="1"/>
  <c r="AY20" i="1"/>
  <c r="AO20" i="1"/>
  <c r="AK20" i="1"/>
  <c r="AU20" i="1"/>
  <c r="S6" i="1" l="1"/>
  <c r="S15" i="1" s="1"/>
  <c r="AK15" i="1"/>
  <c r="Y6" i="1"/>
  <c r="Y8" i="1" s="1"/>
  <c r="O7" i="1"/>
  <c r="O9" i="1" s="1"/>
  <c r="O10" i="1" s="1"/>
  <c r="AB6" i="1"/>
  <c r="AB15" i="1" s="1"/>
  <c r="AK7" i="1"/>
  <c r="AK9" i="1" s="1"/>
  <c r="AK10" i="1" s="1"/>
  <c r="AZ6" i="1"/>
  <c r="AZ7" i="1" s="1"/>
  <c r="AE7" i="1"/>
  <c r="AP6" i="1"/>
  <c r="O15" i="1"/>
  <c r="K7" i="1"/>
  <c r="K9" i="1" s="1"/>
  <c r="K11" i="1" s="1"/>
  <c r="AQ6" i="1"/>
  <c r="AQ8" i="1" s="1"/>
  <c r="D6" i="1"/>
  <c r="D8" i="1" s="1"/>
  <c r="BG6" i="1"/>
  <c r="BG8" i="1" s="1"/>
  <c r="AE8" i="1"/>
  <c r="AA8" i="1"/>
  <c r="AA9" i="1" s="1"/>
  <c r="AA10" i="1" s="1"/>
  <c r="E6" i="1"/>
  <c r="E8" i="1" s="1"/>
  <c r="AG6" i="1"/>
  <c r="AG15" i="1" s="1"/>
  <c r="AW6" i="1"/>
  <c r="BA6" i="1"/>
  <c r="I6" i="1"/>
  <c r="I15" i="1" s="1"/>
  <c r="AY8" i="1"/>
  <c r="AY7" i="1"/>
  <c r="AA15" i="1"/>
  <c r="BE7" i="1"/>
  <c r="BE15" i="1"/>
  <c r="BE8" i="1"/>
  <c r="X6" i="1"/>
  <c r="BF6" i="1"/>
  <c r="U6" i="1"/>
  <c r="AV6" i="1"/>
  <c r="H6" i="1"/>
  <c r="L6" i="1"/>
  <c r="Q6" i="1"/>
  <c r="AC6" i="1"/>
  <c r="W8" i="1"/>
  <c r="W7" i="1"/>
  <c r="G8" i="1"/>
  <c r="G7" i="1"/>
  <c r="G15" i="1"/>
  <c r="AO7" i="1"/>
  <c r="AO9" i="1" s="1"/>
  <c r="AO11" i="1" s="1"/>
  <c r="W15" i="1"/>
  <c r="P6" i="1"/>
  <c r="T6" i="1"/>
  <c r="AF6" i="1"/>
  <c r="AM6" i="1"/>
  <c r="AU8" i="1"/>
  <c r="AU7" i="1"/>
  <c r="AO15" i="1"/>
  <c r="K15" i="1"/>
  <c r="AL6" i="1"/>
  <c r="M6" i="1"/>
  <c r="C8" i="1"/>
  <c r="C7" i="1"/>
  <c r="C15" i="1"/>
  <c r="S8" i="1" l="1"/>
  <c r="O11" i="1"/>
  <c r="K10" i="1"/>
  <c r="K12" i="1" s="1"/>
  <c r="K23" i="1" s="1"/>
  <c r="K26" i="1" s="1"/>
  <c r="Y7" i="1"/>
  <c r="Y15" i="1"/>
  <c r="S7" i="1"/>
  <c r="AQ7" i="1"/>
  <c r="AQ9" i="1" s="1"/>
  <c r="AQ15" i="1"/>
  <c r="BE9" i="1"/>
  <c r="BE10" i="1" s="1"/>
  <c r="AU9" i="1"/>
  <c r="AU10" i="1" s="1"/>
  <c r="C9" i="1"/>
  <c r="C11" i="1" s="1"/>
  <c r="AB7" i="1"/>
  <c r="AB8" i="1"/>
  <c r="AZ8" i="1"/>
  <c r="AZ9" i="1" s="1"/>
  <c r="AZ11" i="1" s="1"/>
  <c r="I8" i="1"/>
  <c r="AG7" i="1"/>
  <c r="I7" i="1"/>
  <c r="AY9" i="1"/>
  <c r="AY11" i="1" s="1"/>
  <c r="E7" i="1"/>
  <c r="E9" i="1" s="1"/>
  <c r="E10" i="1" s="1"/>
  <c r="E15" i="1"/>
  <c r="Y9" i="1"/>
  <c r="Y10" i="1" s="1"/>
  <c r="D7" i="1"/>
  <c r="D9" i="1" s="1"/>
  <c r="AE9" i="1"/>
  <c r="AE10" i="1" s="1"/>
  <c r="AA11" i="1"/>
  <c r="AA12" i="1" s="1"/>
  <c r="AA16" i="1" s="1"/>
  <c r="AA22" i="1" s="1"/>
  <c r="AA25" i="1" s="1"/>
  <c r="D15" i="1"/>
  <c r="W9" i="1"/>
  <c r="W11" i="1" s="1"/>
  <c r="BG7" i="1"/>
  <c r="BG9" i="1" s="1"/>
  <c r="AP7" i="1"/>
  <c r="AP15" i="1"/>
  <c r="AP8" i="1"/>
  <c r="AZ15" i="1"/>
  <c r="BG15" i="1"/>
  <c r="BA7" i="1"/>
  <c r="BA8" i="1"/>
  <c r="BA15" i="1"/>
  <c r="AW7" i="1"/>
  <c r="AW15" i="1"/>
  <c r="AW8" i="1"/>
  <c r="AG8" i="1"/>
  <c r="K16" i="1"/>
  <c r="K22" i="1" s="1"/>
  <c r="K25" i="1" s="1"/>
  <c r="AL15" i="1"/>
  <c r="AL7" i="1"/>
  <c r="AL8" i="1"/>
  <c r="AM8" i="1"/>
  <c r="AM15" i="1"/>
  <c r="AM7" i="1"/>
  <c r="AC7" i="1"/>
  <c r="AC15" i="1"/>
  <c r="AC8" i="1"/>
  <c r="P7" i="1"/>
  <c r="P8" i="1"/>
  <c r="P15" i="1"/>
  <c r="Q8" i="1"/>
  <c r="Q7" i="1"/>
  <c r="Q15" i="1"/>
  <c r="X7" i="1"/>
  <c r="X8" i="1"/>
  <c r="X15" i="1"/>
  <c r="AO10" i="1"/>
  <c r="AO12" i="1" s="1"/>
  <c r="AO23" i="1" s="1"/>
  <c r="AO26" i="1" s="1"/>
  <c r="AO34" i="1" s="1"/>
  <c r="U7" i="1"/>
  <c r="U8" i="1"/>
  <c r="U15" i="1"/>
  <c r="AV8" i="1"/>
  <c r="AV7" i="1"/>
  <c r="AV15" i="1"/>
  <c r="BF7" i="1"/>
  <c r="BF8" i="1"/>
  <c r="BF15" i="1"/>
  <c r="L7" i="1"/>
  <c r="L15" i="1"/>
  <c r="L8" i="1"/>
  <c r="O12" i="1"/>
  <c r="O23" i="1" s="1"/>
  <c r="O26" i="1" s="1"/>
  <c r="M7" i="1"/>
  <c r="M8" i="1"/>
  <c r="M15" i="1"/>
  <c r="AF7" i="1"/>
  <c r="AF15" i="1"/>
  <c r="AF8" i="1"/>
  <c r="H8" i="1"/>
  <c r="H7" i="1"/>
  <c r="H15" i="1"/>
  <c r="T7" i="1"/>
  <c r="T15" i="1"/>
  <c r="T8" i="1"/>
  <c r="G9" i="1"/>
  <c r="AK11" i="1"/>
  <c r="AK12" i="1" s="1"/>
  <c r="AK23" i="1" s="1"/>
  <c r="AK26" i="1" s="1"/>
  <c r="AK34" i="1" s="1"/>
  <c r="S9" i="1" l="1"/>
  <c r="S11" i="1" s="1"/>
  <c r="C10" i="1"/>
  <c r="AU11" i="1"/>
  <c r="AU12" i="1" s="1"/>
  <c r="AU23" i="1" s="1"/>
  <c r="AU26" i="1" s="1"/>
  <c r="AU34" i="1" s="1"/>
  <c r="BE11" i="1"/>
  <c r="BE12" i="1" s="1"/>
  <c r="BE16" i="1" s="1"/>
  <c r="BE22" i="1" s="1"/>
  <c r="BE25" i="1" s="1"/>
  <c r="M9" i="1"/>
  <c r="M10" i="1" s="1"/>
  <c r="P9" i="1"/>
  <c r="P10" i="1" s="1"/>
  <c r="AL9" i="1"/>
  <c r="AL10" i="1" s="1"/>
  <c r="AZ10" i="1"/>
  <c r="AZ12" i="1" s="1"/>
  <c r="AZ16" i="1" s="1"/>
  <c r="AZ22" i="1" s="1"/>
  <c r="AZ25" i="1" s="1"/>
  <c r="I9" i="1"/>
  <c r="I10" i="1" s="1"/>
  <c r="BA9" i="1"/>
  <c r="BA10" i="1" s="1"/>
  <c r="Y11" i="1"/>
  <c r="Y12" i="1" s="1"/>
  <c r="Y23" i="1" s="1"/>
  <c r="Y26" i="1" s="1"/>
  <c r="AY10" i="1"/>
  <c r="AY12" i="1" s="1"/>
  <c r="AY23" i="1" s="1"/>
  <c r="AY26" i="1" s="1"/>
  <c r="AY34" i="1" s="1"/>
  <c r="AP9" i="1"/>
  <c r="AP11" i="1" s="1"/>
  <c r="AB9" i="1"/>
  <c r="AB11" i="1" s="1"/>
  <c r="T9" i="1"/>
  <c r="T10" i="1" s="1"/>
  <c r="AG9" i="1"/>
  <c r="AG10" i="1" s="1"/>
  <c r="Q9" i="1"/>
  <c r="Q11" i="1" s="1"/>
  <c r="AE11" i="1"/>
  <c r="AE12" i="1" s="1"/>
  <c r="AE16" i="1" s="1"/>
  <c r="AE22" i="1" s="1"/>
  <c r="AE25" i="1" s="1"/>
  <c r="BG10" i="1"/>
  <c r="BG11" i="1"/>
  <c r="C12" i="1"/>
  <c r="C23" i="1" s="1"/>
  <c r="C26" i="1" s="1"/>
  <c r="BF9" i="1"/>
  <c r="BF10" i="1" s="1"/>
  <c r="W10" i="1"/>
  <c r="W12" i="1" s="1"/>
  <c r="W23" i="1" s="1"/>
  <c r="W26" i="1" s="1"/>
  <c r="E11" i="1"/>
  <c r="E12" i="1" s="1"/>
  <c r="U9" i="1"/>
  <c r="U11" i="1" s="1"/>
  <c r="AW9" i="1"/>
  <c r="AW11" i="1" s="1"/>
  <c r="AV9" i="1"/>
  <c r="AV11" i="1" s="1"/>
  <c r="AC9" i="1"/>
  <c r="AC11" i="1" s="1"/>
  <c r="O16" i="1"/>
  <c r="O22" i="1" s="1"/>
  <c r="O25" i="1" s="1"/>
  <c r="H9" i="1"/>
  <c r="H11" i="1" s="1"/>
  <c r="AK16" i="1"/>
  <c r="AK22" i="1" s="1"/>
  <c r="AK25" i="1" s="1"/>
  <c r="AQ10" i="1"/>
  <c r="AQ11" i="1"/>
  <c r="AF9" i="1"/>
  <c r="L9" i="1"/>
  <c r="X9" i="1"/>
  <c r="AM9" i="1"/>
  <c r="G10" i="1"/>
  <c r="G11" i="1"/>
  <c r="D10" i="1"/>
  <c r="D11" i="1"/>
  <c r="AA23" i="1"/>
  <c r="AA26" i="1" s="1"/>
  <c r="AO16" i="1"/>
  <c r="AO22" i="1" s="1"/>
  <c r="AO25" i="1" s="1"/>
  <c r="BE23" i="1"/>
  <c r="BE26" i="1" s="1"/>
  <c r="BE34" i="1" s="1"/>
  <c r="S10" i="1" l="1"/>
  <c r="S12" i="1" s="1"/>
  <c r="S16" i="1" s="1"/>
  <c r="S22" i="1" s="1"/>
  <c r="S25" i="1" s="1"/>
  <c r="Q10" i="1"/>
  <c r="Q12" i="1" s="1"/>
  <c r="Q23" i="1" s="1"/>
  <c r="Q26" i="1" s="1"/>
  <c r="AU16" i="1"/>
  <c r="AU22" i="1" s="1"/>
  <c r="AU25" i="1" s="1"/>
  <c r="AL11" i="1"/>
  <c r="AL12" i="1" s="1"/>
  <c r="P11" i="1"/>
  <c r="P12" i="1" s="1"/>
  <c r="AZ23" i="1"/>
  <c r="AZ26" i="1" s="1"/>
  <c r="I11" i="1"/>
  <c r="I12" i="1" s="1"/>
  <c r="I16" i="1" s="1"/>
  <c r="I22" i="1" s="1"/>
  <c r="I25" i="1" s="1"/>
  <c r="M11" i="1"/>
  <c r="M12" i="1" s="1"/>
  <c r="M16" i="1" s="1"/>
  <c r="M22" i="1" s="1"/>
  <c r="M25" i="1" s="1"/>
  <c r="BA11" i="1"/>
  <c r="BA12" i="1" s="1"/>
  <c r="Y16" i="1"/>
  <c r="Y22" i="1" s="1"/>
  <c r="Y25" i="1" s="1"/>
  <c r="E16" i="1"/>
  <c r="E22" i="1" s="1"/>
  <c r="E25" i="1" s="1"/>
  <c r="E23" i="1"/>
  <c r="E26" i="1" s="1"/>
  <c r="C16" i="1"/>
  <c r="C22" i="1" s="1"/>
  <c r="C25" i="1" s="1"/>
  <c r="W16" i="1"/>
  <c r="W22" i="1" s="1"/>
  <c r="W25" i="1" s="1"/>
  <c r="AP10" i="1"/>
  <c r="AP12" i="1" s="1"/>
  <c r="T11" i="1"/>
  <c r="T12" i="1" s="1"/>
  <c r="AB10" i="1"/>
  <c r="AB12" i="1" s="1"/>
  <c r="AB23" i="1" s="1"/>
  <c r="AB26" i="1" s="1"/>
  <c r="H10" i="1"/>
  <c r="H12" i="1" s="1"/>
  <c r="BG12" i="1"/>
  <c r="BG16" i="1" s="1"/>
  <c r="BG22" i="1" s="1"/>
  <c r="BG25" i="1" s="1"/>
  <c r="AQ12" i="1"/>
  <c r="AQ16" i="1" s="1"/>
  <c r="AQ22" i="1" s="1"/>
  <c r="AQ25" i="1" s="1"/>
  <c r="AG11" i="1"/>
  <c r="AG12" i="1" s="1"/>
  <c r="AG23" i="1" s="1"/>
  <c r="AG26" i="1" s="1"/>
  <c r="D12" i="1"/>
  <c r="D23" i="1" s="1"/>
  <c r="D26" i="1" s="1"/>
  <c r="G12" i="1"/>
  <c r="G16" i="1" s="1"/>
  <c r="G22" i="1" s="1"/>
  <c r="G25" i="1" s="1"/>
  <c r="BF11" i="1"/>
  <c r="BF12" i="1" s="1"/>
  <c r="AW10" i="1"/>
  <c r="AW12" i="1" s="1"/>
  <c r="AY16" i="1"/>
  <c r="AY22" i="1" s="1"/>
  <c r="AY25" i="1" s="1"/>
  <c r="U10" i="1"/>
  <c r="U12" i="1" s="1"/>
  <c r="U23" i="1" s="1"/>
  <c r="U26" i="1" s="1"/>
  <c r="AV10" i="1"/>
  <c r="AV12" i="1" s="1"/>
  <c r="AC10" i="1"/>
  <c r="AC12" i="1" s="1"/>
  <c r="AC23" i="1" s="1"/>
  <c r="AC26" i="1" s="1"/>
  <c r="X11" i="1"/>
  <c r="X10" i="1"/>
  <c r="L11" i="1"/>
  <c r="L10" i="1"/>
  <c r="AF10" i="1"/>
  <c r="AF11" i="1"/>
  <c r="AM11" i="1"/>
  <c r="AM10" i="1"/>
  <c r="AE23" i="1"/>
  <c r="AE26" i="1" s="1"/>
  <c r="AE34" i="1" s="1"/>
  <c r="S23" i="1" l="1"/>
  <c r="S26" i="1" s="1"/>
  <c r="I23" i="1"/>
  <c r="I26" i="1" s="1"/>
  <c r="C34" i="1"/>
  <c r="AB16" i="1"/>
  <c r="AB22" i="1" s="1"/>
  <c r="AB25" i="1" s="1"/>
  <c r="D16" i="1"/>
  <c r="D22" i="1" s="1"/>
  <c r="D25" i="1" s="1"/>
  <c r="C33" i="1" s="1"/>
  <c r="D33" i="1" s="1"/>
  <c r="AQ23" i="1"/>
  <c r="AQ26" i="1" s="1"/>
  <c r="H23" i="1"/>
  <c r="H26" i="1" s="1"/>
  <c r="H16" i="1"/>
  <c r="H22" i="1" s="1"/>
  <c r="H25" i="1" s="1"/>
  <c r="G33" i="1" s="1"/>
  <c r="H33" i="1" s="1"/>
  <c r="T16" i="1"/>
  <c r="T22" i="1" s="1"/>
  <c r="T25" i="1" s="1"/>
  <c r="T23" i="1"/>
  <c r="T26" i="1" s="1"/>
  <c r="AM12" i="1"/>
  <c r="AM23" i="1" s="1"/>
  <c r="AM26" i="1" s="1"/>
  <c r="BG23" i="1"/>
  <c r="BG26" i="1" s="1"/>
  <c r="M23" i="1"/>
  <c r="M26" i="1" s="1"/>
  <c r="AA34" i="1"/>
  <c r="AV16" i="1"/>
  <c r="AV22" i="1" s="1"/>
  <c r="AV25" i="1" s="1"/>
  <c r="AV23" i="1"/>
  <c r="AV26" i="1" s="1"/>
  <c r="G23" i="1"/>
  <c r="G26" i="1" s="1"/>
  <c r="BF23" i="1"/>
  <c r="BF26" i="1" s="1"/>
  <c r="BF16" i="1"/>
  <c r="BF22" i="1" s="1"/>
  <c r="BF25" i="1" s="1"/>
  <c r="BE33" i="1" s="1"/>
  <c r="AG16" i="1"/>
  <c r="AG22" i="1" s="1"/>
  <c r="AG25" i="1" s="1"/>
  <c r="AC16" i="1"/>
  <c r="AC22" i="1" s="1"/>
  <c r="AC25" i="1" s="1"/>
  <c r="AA33" i="1" s="1"/>
  <c r="BA8" i="9" s="1"/>
  <c r="AF12" i="1"/>
  <c r="AF23" i="1" s="1"/>
  <c r="AF26" i="1" s="1"/>
  <c r="U16" i="1"/>
  <c r="U22" i="1" s="1"/>
  <c r="U25" i="1" s="1"/>
  <c r="AP23" i="1"/>
  <c r="AP26" i="1" s="1"/>
  <c r="AP16" i="1"/>
  <c r="AP22" i="1" s="1"/>
  <c r="AP25" i="1" s="1"/>
  <c r="AL23" i="1"/>
  <c r="AL26" i="1" s="1"/>
  <c r="AL16" i="1"/>
  <c r="AL22" i="1" s="1"/>
  <c r="AL25" i="1" s="1"/>
  <c r="X12" i="1"/>
  <c r="X16" i="1" s="1"/>
  <c r="X22" i="1" s="1"/>
  <c r="X25" i="1" s="1"/>
  <c r="W33" i="1" s="1"/>
  <c r="AW16" i="1"/>
  <c r="AW22" i="1" s="1"/>
  <c r="AW25" i="1" s="1"/>
  <c r="AW23" i="1"/>
  <c r="AW26" i="1" s="1"/>
  <c r="L12" i="1"/>
  <c r="L23" i="1" s="1"/>
  <c r="L26" i="1" s="1"/>
  <c r="Q16" i="1"/>
  <c r="Q22" i="1" s="1"/>
  <c r="Q25" i="1" s="1"/>
  <c r="BA16" i="1"/>
  <c r="BA22" i="1" s="1"/>
  <c r="BA25" i="1" s="1"/>
  <c r="BA23" i="1"/>
  <c r="BA26" i="1" s="1"/>
  <c r="P23" i="1"/>
  <c r="P26" i="1" s="1"/>
  <c r="O34" i="1" s="1"/>
  <c r="P16" i="1"/>
  <c r="P22" i="1" s="1"/>
  <c r="P25" i="1" s="1"/>
  <c r="S34" i="1" l="1"/>
  <c r="AQ8" i="9"/>
  <c r="AO32" i="1" s="1"/>
  <c r="AO33" i="1" s="1"/>
  <c r="AG8" i="9"/>
  <c r="AE32" i="1" s="1"/>
  <c r="K34" i="1"/>
  <c r="G34" i="1"/>
  <c r="AM16" i="1"/>
  <c r="AM22" i="1" s="1"/>
  <c r="AM25" i="1" s="1"/>
  <c r="AK33" i="1" s="1"/>
  <c r="E33" i="1"/>
  <c r="AF16" i="1"/>
  <c r="AF22" i="1" s="1"/>
  <c r="AF25" i="1" s="1"/>
  <c r="S33" i="1"/>
  <c r="AB38" i="1" s="1"/>
  <c r="AC38" i="1" s="1"/>
  <c r="I33" i="1"/>
  <c r="AU33" i="1"/>
  <c r="AY32" i="1"/>
  <c r="AY33" i="1" s="1"/>
  <c r="L16" i="1"/>
  <c r="L22" i="1" s="1"/>
  <c r="L25" i="1" s="1"/>
  <c r="K33" i="1" s="1"/>
  <c r="L33" i="1" s="1"/>
  <c r="O33" i="1"/>
  <c r="P33" i="1" s="1"/>
  <c r="Q33" i="1" s="1"/>
  <c r="X23" i="1"/>
  <c r="X26" i="1" s="1"/>
  <c r="W34" i="1" s="1"/>
  <c r="T33" i="1"/>
  <c r="AS33" i="1" l="1"/>
  <c r="AS31" i="1" s="1"/>
  <c r="AE33" i="1"/>
  <c r="U33" i="1"/>
  <c r="M33" i="1"/>
  <c r="BC33" i="1"/>
  <c r="BC31" i="1" s="1"/>
  <c r="AI33" i="1"/>
  <c r="AI31" i="1" l="1"/>
</calcChain>
</file>

<file path=xl/comments1.xml><?xml version="1.0" encoding="utf-8"?>
<comments xmlns="http://schemas.openxmlformats.org/spreadsheetml/2006/main">
  <authors>
    <author>Frank Feliks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Gemiddelde van verschillende CAO's.
Gegevens zijn verwerkt op tabblad Gegevens.
Zie ook memo 'Diensten en onderbouwing tarieven'.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Zie toelichting op tabblad Gegevens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4" authorId="0" shapeId="0">
      <text>
        <r>
          <rPr>
            <sz val="9"/>
            <color indexed="81"/>
            <rFont val="Tahoma"/>
            <family val="2"/>
          </rPr>
          <t xml:space="preserve">Geldt voor ambulante diensten.
Bij verblijfsdiensen -&gt; 15%
</t>
        </r>
      </text>
    </comment>
    <comment ref="A19" authorId="0" shapeId="0">
      <text>
        <r>
          <rPr>
            <b/>
            <sz val="9"/>
            <color indexed="81"/>
            <rFont val="Tahoma"/>
            <family val="2"/>
          </rPr>
          <t>Als percentage bij specifieke dienst afwijkt -&gt; toelichting in memo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Zie memo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Zie memo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19" authorId="0" shapeId="0">
      <text>
        <r>
          <rPr>
            <b/>
            <sz val="9"/>
            <color indexed="81"/>
            <rFont val="Tahoma"/>
            <family val="2"/>
          </rPr>
          <t>Zie memo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19" authorId="0" shapeId="0">
      <text>
        <r>
          <rPr>
            <b/>
            <sz val="9"/>
            <color indexed="81"/>
            <rFont val="Tahoma"/>
            <family val="2"/>
          </rPr>
          <t>Zie memo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19" authorId="0" shapeId="0">
      <text>
        <r>
          <rPr>
            <b/>
            <sz val="9"/>
            <color indexed="81"/>
            <rFont val="Tahoma"/>
            <family val="2"/>
          </rPr>
          <t>Zie memo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19" authorId="0" shapeId="0">
      <text>
        <r>
          <rPr>
            <b/>
            <sz val="9"/>
            <color indexed="81"/>
            <rFont val="Tahoma"/>
            <family val="2"/>
          </rPr>
          <t>Zie memo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31" authorId="0" shapeId="0">
      <text>
        <r>
          <rPr>
            <b/>
            <sz val="9"/>
            <color indexed="81"/>
            <rFont val="Tahoma"/>
            <family val="2"/>
          </rPr>
          <t>Huisvestingskosten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31" authorId="0" shapeId="0">
      <text>
        <r>
          <rPr>
            <b/>
            <sz val="9"/>
            <color indexed="81"/>
            <rFont val="Tahoma"/>
            <family val="2"/>
          </rPr>
          <t>Huisvestingskosten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31" authorId="0" shapeId="0">
      <text>
        <r>
          <rPr>
            <b/>
            <sz val="9"/>
            <color indexed="81"/>
            <rFont val="Tahoma"/>
            <family val="2"/>
          </rPr>
          <t>Huisvestingskosten + voedingskosten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31" authorId="0" shapeId="0">
      <text>
        <r>
          <rPr>
            <b/>
            <sz val="9"/>
            <color indexed="81"/>
            <rFont val="Tahoma"/>
            <charset val="1"/>
          </rPr>
          <t>Frank Feliks:</t>
        </r>
        <r>
          <rPr>
            <sz val="9"/>
            <color indexed="81"/>
            <rFont val="Tahoma"/>
            <charset val="1"/>
          </rPr>
          <t xml:space="preserve">
Onduidelijk waarom deze omrekenfactor.
Zou m.i. moeten zijn
201,37 / 97%</t>
        </r>
      </text>
    </comment>
    <comment ref="AK31" authorId="0" shapeId="0">
      <text>
        <r>
          <rPr>
            <b/>
            <sz val="9"/>
            <color indexed="81"/>
            <rFont val="Tahoma"/>
            <family val="2"/>
          </rPr>
          <t>Huisvestingskosten + voedingskosten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31" authorId="0" shapeId="0">
      <text>
        <r>
          <rPr>
            <b/>
            <sz val="9"/>
            <color indexed="81"/>
            <rFont val="Tahoma"/>
            <family val="2"/>
          </rPr>
          <t>Huisvestingskosten + voedingskosten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S31" authorId="0" shapeId="0">
      <text>
        <r>
          <rPr>
            <b/>
            <sz val="9"/>
            <color indexed="81"/>
            <rFont val="Tahoma"/>
            <charset val="1"/>
          </rPr>
          <t>Frank Feliks:</t>
        </r>
        <r>
          <rPr>
            <sz val="9"/>
            <color indexed="81"/>
            <rFont val="Tahoma"/>
            <charset val="1"/>
          </rPr>
          <t xml:space="preserve">
Onduidelijk waarom deze omrekenfactor.
Zou m.i. moeten zijn
201,37 / 85%</t>
        </r>
      </text>
    </comment>
    <comment ref="AU31" authorId="0" shapeId="0">
      <text>
        <r>
          <rPr>
            <b/>
            <sz val="9"/>
            <color indexed="81"/>
            <rFont val="Tahoma"/>
            <family val="2"/>
          </rPr>
          <t>Huisvestingskosten + voedingskosten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Y31" authorId="0" shapeId="0">
      <text>
        <r>
          <rPr>
            <b/>
            <sz val="9"/>
            <color indexed="81"/>
            <rFont val="Tahoma"/>
            <family val="2"/>
          </rPr>
          <t>Huisvestingskosten + voedingskosten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E31" authorId="0" shapeId="0">
      <text>
        <r>
          <rPr>
            <b/>
            <sz val="9"/>
            <color indexed="81"/>
            <rFont val="Tahoma"/>
            <family val="2"/>
          </rPr>
          <t>Huisvestingskosten + voedingskosten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32" authorId="0" shapeId="0">
      <text>
        <r>
          <rPr>
            <b/>
            <sz val="9"/>
            <color indexed="81"/>
            <rFont val="Tahoma"/>
            <charset val="1"/>
          </rPr>
          <t>Betreft extra inzet individuele behandeling</t>
        </r>
      </text>
    </comment>
    <comment ref="AO32" authorId="0" shapeId="0">
      <text>
        <r>
          <rPr>
            <b/>
            <sz val="9"/>
            <color indexed="81"/>
            <rFont val="Tahoma"/>
            <charset val="1"/>
          </rPr>
          <t>Betreft extra inzet individuele behandeling</t>
        </r>
      </text>
    </comment>
    <comment ref="AY32" authorId="0" shapeId="0">
      <text>
        <r>
          <rPr>
            <b/>
            <sz val="9"/>
            <color indexed="81"/>
            <rFont val="Tahoma"/>
            <charset val="1"/>
          </rPr>
          <t>Betreft extra inzet individuele behandeling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<sst xmlns="http://schemas.openxmlformats.org/spreadsheetml/2006/main" count="212" uniqueCount="86">
  <si>
    <t xml:space="preserve">J&amp;O en LVB </t>
  </si>
  <si>
    <t>HBO</t>
  </si>
  <si>
    <t>WO</t>
  </si>
  <si>
    <t>functie mix</t>
  </si>
  <si>
    <t xml:space="preserve">Bruto loonkosten </t>
  </si>
  <si>
    <t>Vakantiegeld</t>
  </si>
  <si>
    <t>Sociale lasten</t>
  </si>
  <si>
    <t>Overhead</t>
  </si>
  <si>
    <t>Cliëntgebonden uren</t>
  </si>
  <si>
    <t>Directe uren</t>
  </si>
  <si>
    <t>CC tijd tarief</t>
  </si>
  <si>
    <t>Totaal</t>
  </si>
  <si>
    <t>EJU*</t>
  </si>
  <si>
    <t>overige</t>
  </si>
  <si>
    <t xml:space="preserve">HBO: </t>
  </si>
  <si>
    <t xml:space="preserve">WO: </t>
  </si>
  <si>
    <t xml:space="preserve">ORT </t>
  </si>
  <si>
    <t>Loonkosten</t>
  </si>
  <si>
    <t>Salaris</t>
  </si>
  <si>
    <t xml:space="preserve">Werkbare uren volgens Advies memo </t>
  </si>
  <si>
    <t>Individuele behandeling gedragswetenschapper</t>
  </si>
  <si>
    <t>Jeugdhulp diagnostiek</t>
  </si>
  <si>
    <t>totaal</t>
  </si>
  <si>
    <t>Groepsbehandeling</t>
  </si>
  <si>
    <t>Groepsgroote</t>
  </si>
  <si>
    <t>Inderect en direct is aangepast naar 15% en 85%</t>
  </si>
  <si>
    <t>aanpassing loonkosten</t>
  </si>
  <si>
    <t>CC tarief</t>
  </si>
  <si>
    <t xml:space="preserve">clienttijd tarief </t>
  </si>
  <si>
    <t>MBO</t>
  </si>
  <si>
    <t xml:space="preserve">MS: </t>
  </si>
  <si>
    <t>CAO jeugdzorg schaal 7 max = € 3371,38 -&gt; 90%</t>
  </si>
  <si>
    <t>CAO GHZ FWG 35 max = € 2574 -&gt; 90%</t>
  </si>
  <si>
    <t>CAO GHZ FWG 45 max = € 2967 -&gt; 90%</t>
  </si>
  <si>
    <t>CAO GHZ FWG 65 max = € 5096 -&gt; 90%</t>
  </si>
  <si>
    <t>huisvestingskosten (30.000/365)/ groeps grote 7</t>
  </si>
  <si>
    <t>Voedingskosten</t>
  </si>
  <si>
    <t>uren</t>
  </si>
  <si>
    <t xml:space="preserve">personen </t>
  </si>
  <si>
    <t>WO is indirect 75%</t>
  </si>
  <si>
    <t>Ambulante crisishulp</t>
  </si>
  <si>
    <t>Groepsbehandeling Zwaar</t>
  </si>
  <si>
    <t>Diensten</t>
  </si>
  <si>
    <t>CAO Jeugdzorg schaal 10 4.379,80 -&gt; 90% = €47.301,84</t>
  </si>
  <si>
    <t>Behandelgroep verblijf midweek</t>
  </si>
  <si>
    <t>Behandelgroep verblijf weekend</t>
  </si>
  <si>
    <t>Groepsbehandeling zwaar 5 dagen / groepsgrote</t>
  </si>
  <si>
    <t>Behandelgroep verblijf</t>
  </si>
  <si>
    <t>Behandelgroep verblijf crisis</t>
  </si>
  <si>
    <t>Behandelgroep verblijf crisis midweek</t>
  </si>
  <si>
    <t>Behandelgroep verblijf crisis weekend</t>
  </si>
  <si>
    <t>Huisvestingskosten naaanleiding uitvraag</t>
  </si>
  <si>
    <t>CAO jeugdzorg schaal 11 max = €5108,82 -&gt; 90%</t>
  </si>
  <si>
    <t>CAO jeugdzorg schaal 9 max = € 4049,78 -&gt; 90%</t>
  </si>
  <si>
    <t>eindejaars uitkering is over het brutoloon vermeerderd met vakantiegeld voor de jeugdzorg en voor de GHZ alleen over het bruto salaris. Hiervan is een gemiddelde genomen</t>
  </si>
  <si>
    <t xml:space="preserve">Productiviteit </t>
  </si>
  <si>
    <t>CCT WO 1/4</t>
  </si>
  <si>
    <t>huisvestingskosten (30.000/365)/ groeps grote 9</t>
  </si>
  <si>
    <t>3 mileu voorziening</t>
  </si>
  <si>
    <t>Cf 100% JZ</t>
  </si>
  <si>
    <t>25% JZ - 75% GZ</t>
  </si>
  <si>
    <t>75% JZ - 25% GZ</t>
  </si>
  <si>
    <t>75% JZ cao</t>
  </si>
  <si>
    <t>CAO jeugdzorg schaal 10 max = € 4049,78 -&gt; 90%</t>
  </si>
  <si>
    <t>CAO GHZ schaal 70 max = € 6.153 -&gt; 90%</t>
  </si>
  <si>
    <t>Jeugdzorg CAO</t>
  </si>
  <si>
    <t>GHZ CAO</t>
  </si>
  <si>
    <t>SCHAAL 10</t>
  </si>
  <si>
    <t>Individuele behandeling ambulant zwaar</t>
  </si>
  <si>
    <t>Individuele behandeling ambulant licht</t>
  </si>
  <si>
    <t xml:space="preserve">CAO JEUGDZORG </t>
  </si>
  <si>
    <t>CAO GHZ</t>
  </si>
  <si>
    <t>bezettingsgraad</t>
  </si>
  <si>
    <t>EJU</t>
  </si>
  <si>
    <t xml:space="preserve">Rekenpercentages op basis van memo 'Advies uitgangspunten kostprijs berekeningen' Bij afwijking daarvan is toelichting opgenomen in memo 'Diensten en onderbouwing tarieven'. </t>
  </si>
  <si>
    <t>Totale loonkosten</t>
  </si>
  <si>
    <t xml:space="preserve">Indirecte uren </t>
  </si>
  <si>
    <t>Tarief is gebaseerd op gemiddelde van midweek en weekend</t>
  </si>
  <si>
    <t>3 milieu voorziening midweek</t>
  </si>
  <si>
    <t>3 milieu voorziening</t>
  </si>
  <si>
    <t>3 milieu voorziening weekend</t>
  </si>
  <si>
    <t xml:space="preserve">Clienttijd uur tarief </t>
  </si>
  <si>
    <t>CC tijd tarief cf functiemix</t>
  </si>
  <si>
    <t>Clienttijd uur tarief cf functiemix</t>
  </si>
  <si>
    <t>Aantal uren</t>
  </si>
  <si>
    <t>Overige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</si>
</sst>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(&quot;€&quot;\ * #,##0.00_);_(&quot;€&quot;\ * \(#,##0.00\);_(&quot;€&quot;\ * &quot;-&quot;??_);_(@_)"/>
    <numFmt numFmtId="165" formatCode="_ &quot;€&quot;\ * #,##0_ ;_ &quot;€&quot;\ * \-#,##0_ ;_ &quot;€&quot;\ * &quot;-&quot;??_ ;_ @_ "/>
    <numFmt numFmtId="166" formatCode="0.000"/>
    <numFmt numFmtId="167" formatCode="_ &quot;€&quot;\ * #,##0.000_ ;_ &quot;€&quot;\ * \-#,##0.000_ ;_ &quot;€&quot;\ * &quot;-&quot;???_ ;_ @_ "/>
    <numFmt numFmtId="168" formatCode="_ * #,##0_ ;_ * \-#,##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u val="singleAccounting"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4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Fill="1" applyBorder="1"/>
    <xf numFmtId="0" fontId="0" fillId="0" borderId="7" xfId="0" applyBorder="1"/>
    <xf numFmtId="0" fontId="0" fillId="0" borderId="0" xfId="0" applyBorder="1"/>
    <xf numFmtId="0" fontId="0" fillId="0" borderId="8" xfId="0" applyFill="1" applyBorder="1"/>
    <xf numFmtId="0" fontId="0" fillId="0" borderId="8" xfId="0" applyBorder="1"/>
    <xf numFmtId="44" fontId="2" fillId="0" borderId="4" xfId="0" applyNumberFormat="1" applyFont="1" applyBorder="1"/>
    <xf numFmtId="0" fontId="2" fillId="0" borderId="5" xfId="0" applyFont="1" applyBorder="1"/>
    <xf numFmtId="0" fontId="2" fillId="0" borderId="6" xfId="0" applyFont="1" applyBorder="1"/>
    <xf numFmtId="44" fontId="2" fillId="0" borderId="7" xfId="0" applyNumberFormat="1" applyFont="1" applyBorder="1"/>
    <xf numFmtId="0" fontId="2" fillId="0" borderId="0" xfId="0" applyFont="1" applyBorder="1"/>
    <xf numFmtId="0" fontId="2" fillId="0" borderId="8" xfId="0" applyFont="1" applyBorder="1"/>
    <xf numFmtId="9" fontId="0" fillId="0" borderId="0" xfId="3" applyFont="1"/>
    <xf numFmtId="0" fontId="2" fillId="0" borderId="7" xfId="0" applyFont="1" applyFill="1" applyBorder="1"/>
    <xf numFmtId="0" fontId="0" fillId="0" borderId="7" xfId="0" applyFill="1" applyBorder="1"/>
    <xf numFmtId="0" fontId="2" fillId="0" borderId="4" xfId="0" applyFont="1" applyFill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9" fontId="0" fillId="0" borderId="1" xfId="0" applyNumberFormat="1" applyBorder="1"/>
    <xf numFmtId="9" fontId="0" fillId="0" borderId="2" xfId="0" applyNumberFormat="1" applyBorder="1"/>
    <xf numFmtId="9" fontId="0" fillId="0" borderId="3" xfId="0" applyNumberFormat="1" applyFill="1" applyBorder="1"/>
    <xf numFmtId="165" fontId="0" fillId="0" borderId="7" xfId="2" applyNumberFormat="1" applyFont="1" applyBorder="1"/>
    <xf numFmtId="165" fontId="0" fillId="0" borderId="12" xfId="2" applyNumberFormat="1" applyFont="1" applyBorder="1"/>
    <xf numFmtId="165" fontId="2" fillId="0" borderId="7" xfId="2" applyNumberFormat="1" applyFont="1" applyBorder="1"/>
    <xf numFmtId="165" fontId="2" fillId="0" borderId="12" xfId="2" applyNumberFormat="1" applyFont="1" applyBorder="1"/>
    <xf numFmtId="165" fontId="0" fillId="0" borderId="7" xfId="0" applyNumberFormat="1" applyBorder="1"/>
    <xf numFmtId="165" fontId="0" fillId="0" borderId="12" xfId="0" applyNumberFormat="1" applyBorder="1"/>
    <xf numFmtId="165" fontId="0" fillId="0" borderId="0" xfId="0" applyNumberFormat="1" applyBorder="1"/>
    <xf numFmtId="165" fontId="0" fillId="0" borderId="8" xfId="0" applyNumberFormat="1" applyBorder="1"/>
    <xf numFmtId="10" fontId="0" fillId="0" borderId="0" xfId="3" applyNumberFormat="1" applyFont="1"/>
    <xf numFmtId="10" fontId="0" fillId="0" borderId="0" xfId="0" applyNumberFormat="1"/>
    <xf numFmtId="165" fontId="0" fillId="0" borderId="0" xfId="0" applyNumberFormat="1"/>
    <xf numFmtId="0" fontId="0" fillId="0" borderId="4" xfId="0" applyFill="1" applyBorder="1"/>
    <xf numFmtId="0" fontId="0" fillId="0" borderId="5" xfId="0" applyFill="1" applyBorder="1"/>
    <xf numFmtId="9" fontId="0" fillId="0" borderId="1" xfId="0" applyNumberFormat="1" applyFill="1" applyBorder="1"/>
    <xf numFmtId="9" fontId="0" fillId="0" borderId="2" xfId="0" applyNumberFormat="1" applyFill="1" applyBorder="1"/>
    <xf numFmtId="0" fontId="0" fillId="0" borderId="0" xfId="0" applyFill="1" applyBorder="1"/>
    <xf numFmtId="165" fontId="0" fillId="0" borderId="7" xfId="2" applyNumberFormat="1" applyFont="1" applyFill="1" applyBorder="1"/>
    <xf numFmtId="165" fontId="0" fillId="0" borderId="12" xfId="2" applyNumberFormat="1" applyFont="1" applyFill="1" applyBorder="1"/>
    <xf numFmtId="165" fontId="2" fillId="0" borderId="7" xfId="2" applyNumberFormat="1" applyFont="1" applyFill="1" applyBorder="1"/>
    <xf numFmtId="165" fontId="2" fillId="0" borderId="12" xfId="2" applyNumberFormat="1" applyFont="1" applyFill="1" applyBorder="1"/>
    <xf numFmtId="165" fontId="0" fillId="0" borderId="7" xfId="0" applyNumberFormat="1" applyFill="1" applyBorder="1"/>
    <xf numFmtId="165" fontId="0" fillId="0" borderId="12" xfId="0" applyNumberFormat="1" applyFill="1" applyBorder="1"/>
    <xf numFmtId="165" fontId="0" fillId="0" borderId="0" xfId="0" applyNumberFormat="1" applyFill="1" applyBorder="1"/>
    <xf numFmtId="165" fontId="0" fillId="0" borderId="8" xfId="0" applyNumberFormat="1" applyFill="1" applyBorder="1"/>
    <xf numFmtId="44" fontId="0" fillId="0" borderId="0" xfId="0" applyNumberFormat="1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44" fontId="2" fillId="0" borderId="4" xfId="0" applyNumberFormat="1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44" fontId="2" fillId="0" borderId="7" xfId="0" applyNumberFormat="1" applyFont="1" applyFill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43" fontId="0" fillId="0" borderId="7" xfId="1" applyFont="1" applyBorder="1"/>
    <xf numFmtId="0" fontId="3" fillId="0" borderId="0" xfId="0" applyFont="1" applyFill="1"/>
    <xf numFmtId="0" fontId="3" fillId="2" borderId="7" xfId="0" applyFont="1" applyFill="1" applyBorder="1"/>
    <xf numFmtId="0" fontId="3" fillId="2" borderId="0" xfId="0" applyFont="1" applyFill="1" applyBorder="1"/>
    <xf numFmtId="0" fontId="5" fillId="2" borderId="0" xfId="0" applyFont="1" applyFill="1" applyBorder="1" applyAlignment="1">
      <alignment vertical="center"/>
    </xf>
    <xf numFmtId="44" fontId="3" fillId="2" borderId="7" xfId="2" applyFont="1" applyFill="1" applyBorder="1"/>
    <xf numFmtId="44" fontId="6" fillId="2" borderId="7" xfId="2" applyFont="1" applyFill="1" applyBorder="1"/>
    <xf numFmtId="44" fontId="6" fillId="2" borderId="7" xfId="0" applyNumberFormat="1" applyFont="1" applyFill="1" applyBorder="1"/>
    <xf numFmtId="0" fontId="3" fillId="0" borderId="0" xfId="0" applyFont="1" applyFill="1" applyBorder="1"/>
    <xf numFmtId="44" fontId="6" fillId="0" borderId="0" xfId="0" applyNumberFormat="1" applyFont="1" applyFill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0" borderId="0" xfId="0" applyFont="1"/>
    <xf numFmtId="44" fontId="3" fillId="3" borderId="6" xfId="2" applyFont="1" applyFill="1" applyBorder="1"/>
    <xf numFmtId="0" fontId="3" fillId="3" borderId="7" xfId="0" applyFont="1" applyFill="1" applyBorder="1"/>
    <xf numFmtId="0" fontId="3" fillId="3" borderId="0" xfId="0" applyFont="1" applyFill="1" applyBorder="1"/>
    <xf numFmtId="0" fontId="3" fillId="3" borderId="8" xfId="0" applyFont="1" applyFill="1" applyBorder="1"/>
    <xf numFmtId="44" fontId="3" fillId="3" borderId="7" xfId="2" applyFont="1" applyFill="1" applyBorder="1"/>
    <xf numFmtId="44" fontId="3" fillId="3" borderId="8" xfId="2" applyFont="1" applyFill="1" applyBorder="1"/>
    <xf numFmtId="44" fontId="6" fillId="0" borderId="0" xfId="0" applyNumberFormat="1" applyFont="1"/>
    <xf numFmtId="0" fontId="3" fillId="3" borderId="9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44" fontId="3" fillId="3" borderId="11" xfId="2" applyFont="1" applyFill="1" applyBorder="1"/>
    <xf numFmtId="0" fontId="3" fillId="3" borderId="7" xfId="0" applyFont="1" applyFill="1" applyBorder="1" applyAlignment="1">
      <alignment wrapText="1"/>
    </xf>
    <xf numFmtId="166" fontId="0" fillId="0" borderId="0" xfId="0" applyNumberFormat="1"/>
    <xf numFmtId="44" fontId="3" fillId="3" borderId="0" xfId="2" applyFont="1" applyFill="1" applyBorder="1"/>
    <xf numFmtId="167" fontId="0" fillId="0" borderId="0" xfId="0" applyNumberFormat="1"/>
    <xf numFmtId="44" fontId="0" fillId="0" borderId="0" xfId="0" applyNumberFormat="1"/>
    <xf numFmtId="0" fontId="0" fillId="0" borderId="13" xfId="0" applyFill="1" applyBorder="1"/>
    <xf numFmtId="0" fontId="0" fillId="0" borderId="12" xfId="0" applyFill="1" applyBorder="1"/>
    <xf numFmtId="0" fontId="2" fillId="0" borderId="12" xfId="0" applyFont="1" applyFill="1" applyBorder="1"/>
    <xf numFmtId="0" fontId="2" fillId="0" borderId="14" xfId="0" applyFont="1" applyFill="1" applyBorder="1"/>
    <xf numFmtId="168" fontId="0" fillId="0" borderId="7" xfId="1" applyNumberFormat="1" applyFont="1" applyBorder="1"/>
    <xf numFmtId="168" fontId="0" fillId="0" borderId="12" xfId="1" applyNumberFormat="1" applyFont="1" applyBorder="1"/>
    <xf numFmtId="168" fontId="0" fillId="0" borderId="0" xfId="1" applyNumberFormat="1" applyFont="1"/>
    <xf numFmtId="168" fontId="0" fillId="0" borderId="7" xfId="1" applyNumberFormat="1" applyFont="1" applyFill="1" applyBorder="1"/>
    <xf numFmtId="168" fontId="0" fillId="0" borderId="12" xfId="1" applyNumberFormat="1" applyFont="1" applyFill="1" applyBorder="1"/>
    <xf numFmtId="0" fontId="0" fillId="0" borderId="0" xfId="0" applyAlignment="1">
      <alignment wrapText="1"/>
    </xf>
    <xf numFmtId="0" fontId="3" fillId="2" borderId="0" xfId="0" applyFont="1" applyFill="1" applyBorder="1" applyAlignment="1">
      <alignment horizontal="center" wrapText="1"/>
    </xf>
    <xf numFmtId="44" fontId="0" fillId="0" borderId="7" xfId="2" applyFont="1" applyBorder="1"/>
    <xf numFmtId="0" fontId="7" fillId="4" borderId="6" xfId="4" applyBorder="1"/>
    <xf numFmtId="0" fontId="7" fillId="4" borderId="6" xfId="4" applyBorder="1" applyAlignment="1">
      <alignment vertical="center"/>
    </xf>
    <xf numFmtId="10" fontId="0" fillId="0" borderId="7" xfId="2" applyNumberFormat="1" applyFont="1" applyBorder="1"/>
    <xf numFmtId="9" fontId="3" fillId="3" borderId="8" xfId="0" applyNumberFormat="1" applyFont="1" applyFill="1" applyBorder="1"/>
    <xf numFmtId="9" fontId="3" fillId="3" borderId="11" xfId="0" applyNumberFormat="1" applyFont="1" applyFill="1" applyBorder="1"/>
    <xf numFmtId="0" fontId="7" fillId="4" borderId="0" xfId="4"/>
    <xf numFmtId="9" fontId="0" fillId="0" borderId="0" xfId="0" applyNumberFormat="1" applyFill="1" applyBorder="1"/>
    <xf numFmtId="44" fontId="7" fillId="4" borderId="6" xfId="4" applyNumberFormat="1" applyBorder="1"/>
    <xf numFmtId="44" fontId="0" fillId="0" borderId="0" xfId="2" applyFont="1"/>
    <xf numFmtId="44" fontId="0" fillId="0" borderId="12" xfId="0" applyNumberFormat="1" applyFont="1" applyFill="1" applyBorder="1"/>
    <xf numFmtId="164" fontId="4" fillId="0" borderId="12" xfId="0" applyNumberFormat="1" applyFont="1" applyFill="1" applyBorder="1"/>
    <xf numFmtId="0" fontId="0" fillId="0" borderId="12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3" fillId="2" borderId="4" xfId="0" applyFont="1" applyFill="1" applyBorder="1"/>
    <xf numFmtId="0" fontId="3" fillId="2" borderId="5" xfId="0" applyFont="1" applyFill="1" applyBorder="1"/>
    <xf numFmtId="0" fontId="3" fillId="0" borderId="6" xfId="0" applyFont="1" applyFill="1" applyBorder="1"/>
    <xf numFmtId="15" fontId="0" fillId="0" borderId="0" xfId="0" applyNumberFormat="1" applyBorder="1"/>
    <xf numFmtId="165" fontId="0" fillId="0" borderId="10" xfId="0" applyNumberFormat="1" applyBorder="1"/>
    <xf numFmtId="167" fontId="0" fillId="0" borderId="10" xfId="0" applyNumberFormat="1" applyBorder="1"/>
    <xf numFmtId="167" fontId="0" fillId="0" borderId="0" xfId="0" applyNumberFormat="1" applyBorder="1"/>
    <xf numFmtId="165" fontId="0" fillId="3" borderId="10" xfId="0" applyNumberFormat="1" applyFill="1" applyBorder="1"/>
    <xf numFmtId="44" fontId="0" fillId="0" borderId="0" xfId="0" applyNumberFormat="1" applyBorder="1"/>
    <xf numFmtId="9" fontId="0" fillId="0" borderId="11" xfId="3" applyFont="1" applyBorder="1"/>
    <xf numFmtId="44" fontId="0" fillId="0" borderId="7" xfId="0" applyNumberFormat="1" applyBorder="1"/>
    <xf numFmtId="44" fontId="0" fillId="0" borderId="9" xfId="0" applyNumberFormat="1" applyBorder="1"/>
    <xf numFmtId="44" fontId="0" fillId="0" borderId="7" xfId="2" applyNumberFormat="1" applyFont="1" applyBorder="1"/>
    <xf numFmtId="44" fontId="0" fillId="0" borderId="9" xfId="2" applyNumberFormat="1" applyFont="1" applyBorder="1"/>
    <xf numFmtId="165" fontId="0" fillId="0" borderId="11" xfId="0" applyNumberFormat="1" applyBorder="1"/>
    <xf numFmtId="44" fontId="0" fillId="0" borderId="9" xfId="2" applyFont="1" applyBorder="1"/>
    <xf numFmtId="10" fontId="0" fillId="0" borderId="0" xfId="0" applyNumberFormat="1" applyFont="1"/>
    <xf numFmtId="0" fontId="0" fillId="0" borderId="7" xfId="0" applyFont="1" applyBorder="1"/>
    <xf numFmtId="165" fontId="0" fillId="0" borderId="7" xfId="0" applyNumberFormat="1" applyFont="1" applyBorder="1"/>
    <xf numFmtId="165" fontId="1" fillId="0" borderId="12" xfId="2" applyNumberFormat="1" applyFont="1" applyBorder="1"/>
    <xf numFmtId="0" fontId="0" fillId="0" borderId="0" xfId="0" applyFont="1"/>
    <xf numFmtId="165" fontId="0" fillId="0" borderId="7" xfId="0" applyNumberFormat="1" applyFont="1" applyFill="1" applyBorder="1"/>
    <xf numFmtId="165" fontId="1" fillId="0" borderId="12" xfId="2" applyNumberFormat="1" applyFont="1" applyFill="1" applyBorder="1"/>
    <xf numFmtId="9" fontId="3" fillId="3" borderId="0" xfId="3" applyFont="1" applyFill="1" applyBorder="1"/>
    <xf numFmtId="165" fontId="0" fillId="3" borderId="11" xfId="0" applyNumberFormat="1" applyFill="1" applyBorder="1"/>
    <xf numFmtId="165" fontId="0" fillId="3" borderId="1" xfId="0" applyNumberFormat="1" applyFill="1" applyBorder="1"/>
    <xf numFmtId="165" fontId="0" fillId="3" borderId="2" xfId="0" applyNumberFormat="1" applyFill="1" applyBorder="1"/>
    <xf numFmtId="165" fontId="0" fillId="3" borderId="3" xfId="0" applyNumberFormat="1" applyFill="1" applyBorder="1"/>
    <xf numFmtId="9" fontId="0" fillId="3" borderId="13" xfId="3" applyFont="1" applyFill="1" applyBorder="1"/>
    <xf numFmtId="9" fontId="0" fillId="3" borderId="14" xfId="3" applyFont="1" applyFill="1" applyBorder="1"/>
    <xf numFmtId="9" fontId="0" fillId="0" borderId="12" xfId="3" applyFont="1" applyFill="1" applyBorder="1" applyAlignment="1">
      <alignment horizontal="center"/>
    </xf>
    <xf numFmtId="9" fontId="0" fillId="0" borderId="8" xfId="3" applyFont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165" fontId="0" fillId="3" borderId="6" xfId="0" applyNumberFormat="1" applyFill="1" applyBorder="1"/>
    <xf numFmtId="165" fontId="0" fillId="3" borderId="9" xfId="0" applyNumberFormat="1" applyFill="1" applyBorder="1"/>
    <xf numFmtId="0" fontId="0" fillId="3" borderId="10" xfId="0" applyFill="1" applyBorder="1"/>
    <xf numFmtId="0" fontId="2" fillId="0" borderId="1" xfId="0" applyFont="1" applyFill="1" applyBorder="1"/>
    <xf numFmtId="0" fontId="0" fillId="3" borderId="2" xfId="0" applyFill="1" applyBorder="1"/>
    <xf numFmtId="0" fontId="3" fillId="2" borderId="5" xfId="0" applyFont="1" applyFill="1" applyBorder="1" applyAlignment="1">
      <alignment wrapText="1"/>
    </xf>
    <xf numFmtId="0" fontId="11" fillId="2" borderId="7" xfId="0" applyNumberFormat="1" applyFont="1" applyFill="1" applyBorder="1"/>
    <xf numFmtId="0" fontId="3" fillId="3" borderId="9" xfId="0" applyFont="1" applyFill="1" applyBorder="1" applyAlignment="1">
      <alignment wrapText="1"/>
    </xf>
    <xf numFmtId="44" fontId="2" fillId="6" borderId="5" xfId="0" applyNumberFormat="1" applyFont="1" applyFill="1" applyBorder="1"/>
    <xf numFmtId="44" fontId="2" fillId="6" borderId="6" xfId="0" applyNumberFormat="1" applyFont="1" applyFill="1" applyBorder="1"/>
    <xf numFmtId="44" fontId="2" fillId="6" borderId="4" xfId="0" applyNumberFormat="1" applyFont="1" applyFill="1" applyBorder="1"/>
    <xf numFmtId="164" fontId="2" fillId="7" borderId="12" xfId="0" applyNumberFormat="1" applyFont="1" applyFill="1" applyBorder="1"/>
    <xf numFmtId="9" fontId="0" fillId="8" borderId="12" xfId="0" applyNumberForma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168" fontId="0" fillId="0" borderId="0" xfId="1" applyNumberFormat="1" applyFont="1" applyBorder="1"/>
    <xf numFmtId="168" fontId="0" fillId="0" borderId="0" xfId="1" applyNumberFormat="1" applyFont="1" applyFill="1"/>
    <xf numFmtId="44" fontId="0" fillId="0" borderId="7" xfId="0" applyNumberFormat="1" applyFill="1" applyBorder="1"/>
    <xf numFmtId="0" fontId="3" fillId="9" borderId="1" xfId="0" applyFont="1" applyFill="1" applyBorder="1" applyAlignment="1">
      <alignment horizontal="center" wrapText="1"/>
    </xf>
    <xf numFmtId="0" fontId="3" fillId="9" borderId="2" xfId="0" applyFont="1" applyFill="1" applyBorder="1" applyAlignment="1">
      <alignment horizontal="center" wrapText="1"/>
    </xf>
    <xf numFmtId="0" fontId="3" fillId="9" borderId="3" xfId="0" applyFont="1" applyFill="1" applyBorder="1" applyAlignment="1">
      <alignment horizontal="center" wrapText="1"/>
    </xf>
    <xf numFmtId="0" fontId="14" fillId="5" borderId="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</cellXfs>
  <cellStyles count="11">
    <cellStyle name="Gevolgde hyperlink" xfId="6" builtinId="9" hidden="1"/>
    <cellStyle name="Gevolgde hyperlink" xfId="8" builtinId="9" hidden="1"/>
    <cellStyle name="Gevolgde hyperlink" xfId="10" builtinId="9" hidden="1"/>
    <cellStyle name="Goed" xfId="4" builtinId="26"/>
    <cellStyle name="Hyperlink" xfId="5" builtinId="8" hidden="1"/>
    <cellStyle name="Hyperlink" xfId="7" builtinId="8" hidden="1"/>
    <cellStyle name="Hyperlink" xfId="9" builtinId="8" hidden="1"/>
    <cellStyle name="Komma" xfId="1" builtinId="3"/>
    <cellStyle name="Procent" xfId="3" builtinId="5"/>
    <cellStyle name="Standaard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O83"/>
  <sheetViews>
    <sheetView tabSelected="1" zoomScaleNormal="100" zoomScaleSheetLayoutView="130" zoomScalePageLayoutView="40" workbookViewId="0">
      <pane xSplit="2" ySplit="2" topLeftCell="AE18" activePane="bottomRight" state="frozen"/>
      <selection pane="topRight" activeCell="C1" sqref="C1"/>
      <selection pane="bottomLeft" activeCell="A3" sqref="A3"/>
      <selection pane="bottomRight" activeCell="AY32" sqref="AY32"/>
    </sheetView>
  </sheetViews>
  <sheetFormatPr defaultColWidth="8.85546875" defaultRowHeight="15" x14ac:dyDescent="0.25"/>
  <cols>
    <col min="1" max="1" width="19.42578125" bestFit="1" customWidth="1"/>
    <col min="2" max="2" width="30.7109375" bestFit="1" customWidth="1"/>
    <col min="3" max="5" width="19.42578125" customWidth="1"/>
    <col min="6" max="6" width="2.140625" customWidth="1"/>
    <col min="7" max="9" width="19.42578125" customWidth="1"/>
    <col min="10" max="10" width="2.140625" customWidth="1"/>
    <col min="11" max="13" width="19.42578125" customWidth="1"/>
    <col min="14" max="14" width="2.140625" customWidth="1"/>
    <col min="15" max="17" width="19.42578125" customWidth="1"/>
    <col min="18" max="18" width="2.140625" customWidth="1"/>
    <col min="19" max="21" width="19.42578125" customWidth="1"/>
    <col min="22" max="22" width="2.140625" customWidth="1"/>
    <col min="23" max="25" width="19.42578125" customWidth="1"/>
    <col min="26" max="26" width="2.140625" customWidth="1"/>
    <col min="27" max="29" width="19.42578125" customWidth="1"/>
    <col min="30" max="30" width="2.140625" customWidth="1"/>
    <col min="31" max="33" width="19.42578125" customWidth="1"/>
    <col min="34" max="34" width="2.140625" customWidth="1"/>
    <col min="35" max="35" width="19.42578125" customWidth="1"/>
    <col min="36" max="36" width="1.28515625" customWidth="1"/>
    <col min="37" max="39" width="19.42578125" customWidth="1"/>
    <col min="40" max="40" width="2.140625" customWidth="1"/>
    <col min="41" max="43" width="19.42578125" customWidth="1"/>
    <col min="44" max="44" width="2.140625" customWidth="1"/>
    <col min="45" max="45" width="19.42578125" customWidth="1"/>
    <col min="46" max="46" width="19.42578125" hidden="1" customWidth="1"/>
    <col min="47" max="47" width="19.42578125" customWidth="1"/>
    <col min="48" max="48" width="10.7109375" bestFit="1" customWidth="1"/>
    <col min="49" max="49" width="19.42578125" customWidth="1"/>
    <col min="50" max="50" width="2.140625" customWidth="1"/>
    <col min="51" max="53" width="19.42578125" customWidth="1"/>
    <col min="54" max="54" width="2.140625" customWidth="1"/>
    <col min="55" max="55" width="19.42578125" customWidth="1"/>
    <col min="56" max="56" width="2.28515625" customWidth="1"/>
    <col min="57" max="62" width="19.42578125" customWidth="1"/>
    <col min="63" max="63" width="2.140625" customWidth="1"/>
    <col min="64" max="66" width="19.42578125" hidden="1" customWidth="1"/>
    <col min="67" max="67" width="4.42578125" hidden="1" customWidth="1"/>
  </cols>
  <sheetData>
    <row r="1" spans="1:59" ht="15.75" thickBot="1" x14ac:dyDescent="0.3">
      <c r="B1" s="78"/>
    </row>
    <row r="2" spans="1:59" s="104" customFormat="1" ht="30.75" thickBot="1" x14ac:dyDescent="0.3">
      <c r="A2" s="175" t="s">
        <v>74</v>
      </c>
      <c r="C2" s="176" t="s">
        <v>69</v>
      </c>
      <c r="D2" s="177"/>
      <c r="E2" s="178"/>
      <c r="G2" s="176" t="s">
        <v>68</v>
      </c>
      <c r="H2" s="177"/>
      <c r="I2" s="178"/>
      <c r="K2" s="176" t="s">
        <v>20</v>
      </c>
      <c r="L2" s="177"/>
      <c r="M2" s="178"/>
      <c r="O2" s="176" t="s">
        <v>21</v>
      </c>
      <c r="P2" s="177"/>
      <c r="Q2" s="178"/>
      <c r="S2" s="176" t="s">
        <v>40</v>
      </c>
      <c r="T2" s="177"/>
      <c r="U2" s="178"/>
      <c r="W2" s="176" t="s">
        <v>23</v>
      </c>
      <c r="X2" s="177"/>
      <c r="Y2" s="178"/>
      <c r="AA2" s="176" t="s">
        <v>41</v>
      </c>
      <c r="AB2" s="177"/>
      <c r="AC2" s="178"/>
      <c r="AE2" s="172" t="s">
        <v>44</v>
      </c>
      <c r="AF2" s="173"/>
      <c r="AG2" s="174"/>
      <c r="AI2" s="105" t="s">
        <v>47</v>
      </c>
      <c r="AK2" s="172" t="s">
        <v>45</v>
      </c>
      <c r="AL2" s="173"/>
      <c r="AM2" s="174"/>
      <c r="AO2" s="172" t="s">
        <v>49</v>
      </c>
      <c r="AP2" s="173"/>
      <c r="AQ2" s="174"/>
      <c r="AS2" s="105" t="s">
        <v>48</v>
      </c>
      <c r="AU2" s="172" t="s">
        <v>50</v>
      </c>
      <c r="AV2" s="173"/>
      <c r="AW2" s="174"/>
      <c r="AY2" s="172" t="s">
        <v>78</v>
      </c>
      <c r="AZ2" s="173"/>
      <c r="BA2" s="174"/>
      <c r="BC2" s="105" t="s">
        <v>79</v>
      </c>
      <c r="BE2" s="172" t="s">
        <v>80</v>
      </c>
      <c r="BF2" s="173"/>
      <c r="BG2" s="174"/>
    </row>
    <row r="3" spans="1:59" ht="15.75" customHeight="1" thickBot="1" x14ac:dyDescent="0.3">
      <c r="A3" s="175"/>
      <c r="B3" s="1" t="s">
        <v>42</v>
      </c>
      <c r="C3" s="1" t="s">
        <v>1</v>
      </c>
      <c r="D3" s="2" t="s">
        <v>2</v>
      </c>
      <c r="E3" s="3" t="s">
        <v>13</v>
      </c>
      <c r="G3" s="1" t="s">
        <v>1</v>
      </c>
      <c r="H3" s="2" t="s">
        <v>2</v>
      </c>
      <c r="I3" s="3" t="s">
        <v>13</v>
      </c>
      <c r="K3" s="1" t="s">
        <v>1</v>
      </c>
      <c r="L3" s="2" t="s">
        <v>2</v>
      </c>
      <c r="M3" s="3" t="s">
        <v>13</v>
      </c>
      <c r="O3" s="1" t="s">
        <v>1</v>
      </c>
      <c r="P3" s="2" t="s">
        <v>2</v>
      </c>
      <c r="Q3" s="3" t="s">
        <v>13</v>
      </c>
      <c r="S3" s="1" t="s">
        <v>1</v>
      </c>
      <c r="T3" s="2" t="s">
        <v>2</v>
      </c>
      <c r="U3" s="3" t="s">
        <v>13</v>
      </c>
      <c r="W3" s="1" t="s">
        <v>1</v>
      </c>
      <c r="X3" s="2" t="s">
        <v>2</v>
      </c>
      <c r="Y3" s="3" t="s">
        <v>29</v>
      </c>
      <c r="AA3" s="1" t="s">
        <v>1</v>
      </c>
      <c r="AB3" s="2" t="s">
        <v>2</v>
      </c>
      <c r="AC3" s="3" t="s">
        <v>29</v>
      </c>
      <c r="AE3" s="39" t="s">
        <v>1</v>
      </c>
      <c r="AF3" s="40" t="s">
        <v>2</v>
      </c>
      <c r="AG3" s="3" t="s">
        <v>29</v>
      </c>
      <c r="AI3" s="95"/>
      <c r="AK3" s="39" t="s">
        <v>1</v>
      </c>
      <c r="AL3" s="40" t="s">
        <v>2</v>
      </c>
      <c r="AM3" s="3" t="s">
        <v>29</v>
      </c>
      <c r="AO3" s="39" t="s">
        <v>1</v>
      </c>
      <c r="AP3" s="40" t="s">
        <v>2</v>
      </c>
      <c r="AQ3" s="3" t="s">
        <v>29</v>
      </c>
      <c r="AS3" s="95"/>
      <c r="AU3" s="39" t="s">
        <v>1</v>
      </c>
      <c r="AV3" s="40" t="s">
        <v>2</v>
      </c>
      <c r="AW3" s="3" t="s">
        <v>29</v>
      </c>
      <c r="AY3" s="39" t="s">
        <v>1</v>
      </c>
      <c r="AZ3" s="40" t="s">
        <v>2</v>
      </c>
      <c r="BA3" s="3" t="s">
        <v>29</v>
      </c>
      <c r="BC3" s="95"/>
      <c r="BE3" s="39" t="s">
        <v>1</v>
      </c>
      <c r="BF3" s="40" t="s">
        <v>2</v>
      </c>
      <c r="BG3" s="3" t="s">
        <v>29</v>
      </c>
    </row>
    <row r="4" spans="1:59" ht="70.5" customHeight="1" thickBot="1" x14ac:dyDescent="0.3">
      <c r="A4" s="175"/>
      <c r="B4" s="24" t="s">
        <v>3</v>
      </c>
      <c r="C4" s="25">
        <v>0.95</v>
      </c>
      <c r="D4" s="26">
        <v>0.05</v>
      </c>
      <c r="E4" s="27">
        <v>0</v>
      </c>
      <c r="G4" s="25">
        <v>0.95</v>
      </c>
      <c r="H4" s="26">
        <v>0.05</v>
      </c>
      <c r="I4" s="27">
        <v>0</v>
      </c>
      <c r="K4" s="25">
        <v>0</v>
      </c>
      <c r="L4" s="26">
        <v>1</v>
      </c>
      <c r="M4" s="27">
        <v>0</v>
      </c>
      <c r="O4" s="25">
        <v>0</v>
      </c>
      <c r="P4" s="26">
        <v>1</v>
      </c>
      <c r="Q4" s="27">
        <v>0</v>
      </c>
      <c r="S4" s="25">
        <v>0.95</v>
      </c>
      <c r="T4" s="26">
        <v>0.05</v>
      </c>
      <c r="U4" s="27">
        <v>0</v>
      </c>
      <c r="W4" s="25">
        <v>1</v>
      </c>
      <c r="X4" s="26">
        <v>0.2</v>
      </c>
      <c r="Y4" s="27">
        <v>1</v>
      </c>
      <c r="Z4" s="113"/>
      <c r="AA4" s="25">
        <v>2</v>
      </c>
      <c r="AB4" s="26">
        <v>0.2</v>
      </c>
      <c r="AC4" s="27">
        <v>0</v>
      </c>
      <c r="AE4" s="41">
        <v>0.60640000000000005</v>
      </c>
      <c r="AF4" s="42">
        <v>0</v>
      </c>
      <c r="AG4" s="27">
        <v>0.39360000000000001</v>
      </c>
      <c r="AI4" s="167" t="s">
        <v>77</v>
      </c>
      <c r="AK4" s="41">
        <v>0.55559999999999998</v>
      </c>
      <c r="AL4" s="42">
        <v>0</v>
      </c>
      <c r="AM4" s="27">
        <v>0.44440000000000002</v>
      </c>
      <c r="AO4" s="41">
        <v>0.60640000000000005</v>
      </c>
      <c r="AP4" s="42">
        <v>0</v>
      </c>
      <c r="AQ4" s="27">
        <v>0.39360000000000001</v>
      </c>
      <c r="AS4" s="167" t="s">
        <v>77</v>
      </c>
      <c r="AU4" s="41">
        <v>0.55559999999999998</v>
      </c>
      <c r="AV4" s="42">
        <v>0</v>
      </c>
      <c r="AW4" s="27">
        <v>0.44440000000000002</v>
      </c>
      <c r="AY4" s="41">
        <v>1</v>
      </c>
      <c r="AZ4" s="42">
        <v>0</v>
      </c>
      <c r="BA4" s="27">
        <v>0</v>
      </c>
      <c r="BC4" s="167" t="s">
        <v>77</v>
      </c>
      <c r="BE4" s="41">
        <v>1</v>
      </c>
      <c r="BF4" s="42">
        <v>0</v>
      </c>
      <c r="BG4" s="27">
        <v>0</v>
      </c>
    </row>
    <row r="5" spans="1:59" x14ac:dyDescent="0.25">
      <c r="B5" s="4"/>
      <c r="C5" s="4"/>
      <c r="D5" s="5"/>
      <c r="E5" s="6"/>
      <c r="G5" s="4"/>
      <c r="H5" s="5"/>
      <c r="I5" s="6"/>
      <c r="K5" s="4"/>
      <c r="L5" s="5"/>
      <c r="M5" s="6"/>
      <c r="O5" s="4"/>
      <c r="P5" s="5"/>
      <c r="Q5" s="6"/>
      <c r="S5" s="4"/>
      <c r="T5" s="5"/>
      <c r="U5" s="6"/>
      <c r="W5" s="4"/>
      <c r="X5" s="5"/>
      <c r="Y5" s="6"/>
      <c r="AA5" s="4"/>
      <c r="AB5" s="5"/>
      <c r="AC5" s="6"/>
      <c r="AE5" s="16"/>
      <c r="AF5" s="43"/>
      <c r="AG5" s="6"/>
      <c r="AI5" s="96"/>
      <c r="AK5" s="16"/>
      <c r="AL5" s="43"/>
      <c r="AM5" s="6"/>
      <c r="AO5" s="16"/>
      <c r="AP5" s="43"/>
      <c r="AQ5" s="6"/>
      <c r="AS5" s="96"/>
      <c r="AU5" s="16"/>
      <c r="AV5" s="43"/>
      <c r="AW5" s="6"/>
      <c r="AY5" s="16"/>
      <c r="AZ5" s="43"/>
      <c r="BA5" s="6"/>
      <c r="BC5" s="96"/>
      <c r="BE5" s="16"/>
      <c r="BF5" s="43"/>
      <c r="BG5" s="6"/>
    </row>
    <row r="6" spans="1:59" x14ac:dyDescent="0.25">
      <c r="A6" s="14"/>
      <c r="B6" s="4" t="s">
        <v>18</v>
      </c>
      <c r="C6" s="28">
        <f>SUM(Gegevens!$C$11*Gegevens!D6)+(Gegevens!$C$12*Gegevens!D7)</f>
        <v>34245.936000000002</v>
      </c>
      <c r="D6" s="28">
        <f>SUM(Gegevens!D6*Gegevens!$D$11)+(Gegevens!D7*Gegevens!$D$12)</f>
        <v>54274.400999999998</v>
      </c>
      <c r="E6" s="29">
        <f>SUM(Gegevens!$E$11*Gegevens!D7)+(Gegevens!$E$12*Gegevens!D6)</f>
        <v>32126.301000000003</v>
      </c>
      <c r="G6" s="28">
        <f>Gegevens!G4</f>
        <v>43329.815999999999</v>
      </c>
      <c r="H6" s="28">
        <f>SUM(Gegevens!H6*Gegevens!$D$11)+(Gegevens!H7*Gegevens!$D$12)</f>
        <v>49848.803999999996</v>
      </c>
      <c r="I6" s="29">
        <f>SUM(Gegevens!$E$11*Gegevens!H7)+(Gegevens!$E$12*Gegevens!H6)</f>
        <v>28155.600000000002</v>
      </c>
      <c r="K6" s="28">
        <f>SUM(Gegevens!$C$11*Gegevens!L6)+(Gegevens!$C$12*Gegevens!L7)</f>
        <v>36027.072</v>
      </c>
      <c r="L6" s="28">
        <f>SUM(Gegevens!L6*Gegevens!$D$11)+(Gegevens!L7*Gegevens!$D$12)</f>
        <v>52799.201999999997</v>
      </c>
      <c r="M6" s="29">
        <f>SUM(Gegevens!$E$11*Gegevens!L7)+(Gegevens!$E$12*Gegevens!L6)</f>
        <v>30802.734000000004</v>
      </c>
      <c r="O6" s="28">
        <f>SUM(Gegevens!$C$11*Gegevens!P6)+(Gegevens!$C$12*Gegevens!P7)</f>
        <v>36027.072</v>
      </c>
      <c r="P6" s="28">
        <f>SUM(Gegevens!P6*Gegevens!$D$11)+(Gegevens!P7*Gegevens!$D$12)</f>
        <v>52799.201999999997</v>
      </c>
      <c r="Q6" s="29">
        <f>SUM(Gegevens!$E$11*Gegevens!P7)+(Gegevens!$E$12*Gegevens!P6)</f>
        <v>30802.734000000004</v>
      </c>
      <c r="S6" s="28">
        <f>Gegevens!S4</f>
        <v>43329.815999999999</v>
      </c>
      <c r="T6" s="28">
        <f>SUM(Gegevens!T6*Gegevens!$D$11)+(Gegevens!T7*Gegevens!$D$12)</f>
        <v>52799.201999999997</v>
      </c>
      <c r="U6" s="29">
        <f>SUM(Gegevens!$E$11*Gegevens!T7)+(Gegevens!$E$12*Gegevens!T6)</f>
        <v>30802.734000000004</v>
      </c>
      <c r="W6" s="28">
        <f>SUM(Gegevens!$C$11*Gegevens!X6)+(Gegevens!$C$12*Gegevens!X7)</f>
        <v>39589.343999999997</v>
      </c>
      <c r="X6" s="28">
        <f>SUM(Gegevens!X6*Gegevens!$D$11)+(Gegevens!X7*Gegevens!$D$12)</f>
        <v>49848.803999999996</v>
      </c>
      <c r="Y6" s="29">
        <f>SUM(Gegevens!$E$11*Gegevens!X7)+(Gegevens!$E$12*Gegevens!X6)</f>
        <v>28155.600000000002</v>
      </c>
      <c r="AA6" s="28">
        <f>SUM(Gegevens!$C$11*Gegevens!AB6)+(Gegevens!$C$12*Gegevens!AB7)</f>
        <v>39589.343999999997</v>
      </c>
      <c r="AB6" s="28">
        <f>SUM(Gegevens!AB6*Gegevens!$D$11)+(Gegevens!AB7*Gegevens!$D$12)</f>
        <v>49848.803999999996</v>
      </c>
      <c r="AC6" s="29">
        <f>SUM(Gegevens!$E$11*Gegevens!AB7)+(Gegevens!$E$12*Gegevens!AB6)</f>
        <v>28155.600000000002</v>
      </c>
      <c r="AE6" s="28">
        <f>SUM(Gegevens!$C$11*Gegevens!AF6)+(Gegevens!$C$12*Gegevens!AF7)</f>
        <v>37808.207999999999</v>
      </c>
      <c r="AF6" s="28">
        <f>SUM(Gegevens!AF6*Gegevens!$D$11)+(Gegevens!AF7*Gegevens!$D$12)</f>
        <v>51324.002999999997</v>
      </c>
      <c r="AG6" s="29">
        <f>SUM(Gegevens!$E$11*Gegevens!AF7)+(Gegevens!$E$12*Gegevens!AF6)</f>
        <v>29479.167000000001</v>
      </c>
      <c r="AI6" s="45"/>
      <c r="AK6" s="28">
        <f>SUM(Gegevens!$C$11*Gegevens!AL6)+(Gegevens!$C$12*Gegevens!AL7)</f>
        <v>37808.207999999999</v>
      </c>
      <c r="AL6" s="28">
        <f>SUM(Gegevens!AL6*Gegevens!$D$11)+(Gegevens!AL7*Gegevens!$D$12)</f>
        <v>51324.002999999997</v>
      </c>
      <c r="AM6" s="29">
        <f>SUM(Gegevens!$E$11*Gegevens!AL7)+(Gegevens!$E$12*Gegevens!AL6)</f>
        <v>29479.167000000001</v>
      </c>
      <c r="AO6" s="28">
        <f>SUM(Gegevens!$C$11*Gegevens!AP6)+(Gegevens!$C$12*Gegevens!AP7)</f>
        <v>37808.207999999999</v>
      </c>
      <c r="AP6" s="28">
        <f>SUM(Gegevens!AP6*Gegevens!$D$11)+(Gegevens!AP7*Gegevens!$D$12)</f>
        <v>51324.002999999997</v>
      </c>
      <c r="AQ6" s="29">
        <f>SUM(Gegevens!$E$11*Gegevens!AP7)+(Gegevens!$E$12*Gegevens!AP6)</f>
        <v>29479.167000000001</v>
      </c>
      <c r="AS6" s="45"/>
      <c r="AU6" s="28">
        <f>SUM(Gegevens!$C$11*Gegevens!AV6)+(Gegevens!$C$12*Gegevens!AV7)</f>
        <v>37808.207999999999</v>
      </c>
      <c r="AV6" s="28">
        <f>SUM(Gegevens!AV6*Gegevens!$D$11)+(Gegevens!AV7*Gegevens!$D$12)</f>
        <v>51324.002999999997</v>
      </c>
      <c r="AW6" s="29">
        <f>SUM(Gegevens!$E$11*Gegevens!AV7)+(Gegevens!$E$12*Gegevens!AV6)</f>
        <v>29479.167000000001</v>
      </c>
      <c r="AY6" s="28">
        <f>SUM(Gegevens!$C$11*Gegevens!AZ6)+(Gegevens!$C$12*Gegevens!AZ7)</f>
        <v>37808.207999999999</v>
      </c>
      <c r="AZ6" s="28">
        <f>SUM(Gegevens!AZ6*Gegevens!$D$11)+(Gegevens!AZ7*Gegevens!$D$12)</f>
        <v>51324.002999999997</v>
      </c>
      <c r="BA6" s="29">
        <f>SUM(Gegevens!$E$11*Gegevens!AZ7)+(Gegevens!$E$12*Gegevens!AZ6)</f>
        <v>29479.167000000001</v>
      </c>
      <c r="BC6" s="45"/>
      <c r="BE6" s="28">
        <f>SUM(Gegevens!$C$11*Gegevens!BF6)+(Gegevens!$C$12*Gegevens!BF7)</f>
        <v>37808.207999999999</v>
      </c>
      <c r="BF6" s="28">
        <f>SUM(Gegevens!BF6*Gegevens!$D$11)+(Gegevens!BF7*Gegevens!$D$12)</f>
        <v>51324.002999999997</v>
      </c>
      <c r="BG6" s="29">
        <f>SUM(Gegevens!$E$11*Gegevens!BF7)+(Gegevens!$E$12*Gegevens!BF6)</f>
        <v>29479.167000000001</v>
      </c>
    </row>
    <row r="7" spans="1:59" x14ac:dyDescent="0.25">
      <c r="A7" s="36">
        <v>0.08</v>
      </c>
      <c r="B7" s="4" t="s">
        <v>5</v>
      </c>
      <c r="C7" s="28">
        <f>C6*$A7</f>
        <v>2739.67488</v>
      </c>
      <c r="D7" s="28">
        <f>D6*$A7</f>
        <v>4341.95208</v>
      </c>
      <c r="E7" s="29">
        <f>E6*$A7</f>
        <v>2570.1040800000005</v>
      </c>
      <c r="G7" s="28">
        <f>G6*$A7</f>
        <v>3466.38528</v>
      </c>
      <c r="H7" s="28">
        <f>H6*$A7</f>
        <v>3987.9043199999996</v>
      </c>
      <c r="I7" s="29">
        <f>I6*$A7</f>
        <v>2252.4480000000003</v>
      </c>
      <c r="K7" s="28">
        <f>K6*$A7</f>
        <v>2882.1657599999999</v>
      </c>
      <c r="L7" s="28">
        <f>L6*$A7</f>
        <v>4223.9361600000002</v>
      </c>
      <c r="M7" s="29">
        <f>M6*$A7</f>
        <v>2464.2187200000003</v>
      </c>
      <c r="O7" s="28">
        <f>O6*$A7</f>
        <v>2882.1657599999999</v>
      </c>
      <c r="P7" s="28">
        <f>P6*$A7</f>
        <v>4223.9361600000002</v>
      </c>
      <c r="Q7" s="29">
        <f>Q6*$A7</f>
        <v>2464.2187200000003</v>
      </c>
      <c r="S7" s="28">
        <f>S6*$A7</f>
        <v>3466.38528</v>
      </c>
      <c r="T7" s="28">
        <f>T6*$A7</f>
        <v>4223.9361600000002</v>
      </c>
      <c r="U7" s="29">
        <f>U6*$A7</f>
        <v>2464.2187200000003</v>
      </c>
      <c r="W7" s="28">
        <f>W6*$A7</f>
        <v>3167.14752</v>
      </c>
      <c r="X7" s="28">
        <f>X6*$A7</f>
        <v>3987.9043199999996</v>
      </c>
      <c r="Y7" s="29">
        <f>Y6*$A7</f>
        <v>2252.4480000000003</v>
      </c>
      <c r="AA7" s="28">
        <f>AA6*$A7</f>
        <v>3167.14752</v>
      </c>
      <c r="AB7" s="28">
        <f>AB6*$A7</f>
        <v>3987.9043199999996</v>
      </c>
      <c r="AC7" s="29">
        <f>AC6*$A7</f>
        <v>2252.4480000000003</v>
      </c>
      <c r="AE7" s="44">
        <f>AE6*$A7</f>
        <v>3024.6566400000002</v>
      </c>
      <c r="AF7" s="44">
        <f>AF6*$A7</f>
        <v>4105.9202399999995</v>
      </c>
      <c r="AG7" s="45">
        <f>AG6*$A7</f>
        <v>2358.3333600000001</v>
      </c>
      <c r="AI7" s="45"/>
      <c r="AK7" s="44">
        <f>AK6*$A7</f>
        <v>3024.6566400000002</v>
      </c>
      <c r="AL7" s="44">
        <f>AL6*$A7</f>
        <v>4105.9202399999995</v>
      </c>
      <c r="AM7" s="45">
        <f>AM6*$A7</f>
        <v>2358.3333600000001</v>
      </c>
      <c r="AO7" s="44">
        <f>AO6*$A7</f>
        <v>3024.6566400000002</v>
      </c>
      <c r="AP7" s="44">
        <f>AP6*$A7</f>
        <v>4105.9202399999995</v>
      </c>
      <c r="AQ7" s="45">
        <f>AQ6*$A7</f>
        <v>2358.3333600000001</v>
      </c>
      <c r="AS7" s="45"/>
      <c r="AU7" s="44">
        <f>AU6*$A7</f>
        <v>3024.6566400000002</v>
      </c>
      <c r="AV7" s="44">
        <f>AV6*$A7</f>
        <v>4105.9202399999995</v>
      </c>
      <c r="AW7" s="45">
        <f>AW6*$A7</f>
        <v>2358.3333600000001</v>
      </c>
      <c r="AY7" s="44">
        <f>AY6*$A7</f>
        <v>3024.6566400000002</v>
      </c>
      <c r="AZ7" s="44">
        <f>AZ6*$A7</f>
        <v>4105.9202399999995</v>
      </c>
      <c r="BA7" s="45">
        <f>BA6*$A7</f>
        <v>2358.3333600000001</v>
      </c>
      <c r="BC7" s="45"/>
      <c r="BE7" s="44">
        <f>BE6*$A7</f>
        <v>3024.6566400000002</v>
      </c>
      <c r="BF7" s="44">
        <f>BF6*$A7</f>
        <v>4105.9202399999995</v>
      </c>
      <c r="BG7" s="45">
        <f>BG6*$A7</f>
        <v>2358.3333600000001</v>
      </c>
    </row>
    <row r="8" spans="1:59" x14ac:dyDescent="0.25">
      <c r="A8" s="36">
        <v>8.0100000000000005E-2</v>
      </c>
      <c r="B8" s="4" t="s">
        <v>73</v>
      </c>
      <c r="C8" s="28">
        <f>SUM(C6)*$A8</f>
        <v>2743.0994736000002</v>
      </c>
      <c r="D8" s="28">
        <f>SUM(D6)*$A8</f>
        <v>4347.3795201000003</v>
      </c>
      <c r="E8" s="29">
        <f>SUM(E6)*$A8</f>
        <v>2573.3167101000004</v>
      </c>
      <c r="G8" s="28">
        <f>SUM(G6)*$A8</f>
        <v>3470.7182616</v>
      </c>
      <c r="H8" s="28">
        <f>SUM(H6)*$A8</f>
        <v>3992.8892003999999</v>
      </c>
      <c r="I8" s="29">
        <f>SUM(I6)*$A8</f>
        <v>2255.2635600000003</v>
      </c>
      <c r="K8" s="28">
        <f>SUM(K6)*$A8</f>
        <v>2885.7684672</v>
      </c>
      <c r="L8" s="28">
        <f>SUM(L6)*$A8</f>
        <v>4229.2160801999999</v>
      </c>
      <c r="M8" s="29">
        <f>SUM(M6)*$A8</f>
        <v>2467.2989934000007</v>
      </c>
      <c r="O8" s="28">
        <f>SUM(O6)*$A8</f>
        <v>2885.7684672</v>
      </c>
      <c r="P8" s="28">
        <f>SUM(P6)*$A8</f>
        <v>4229.2160801999999</v>
      </c>
      <c r="Q8" s="29">
        <f>SUM(Q6)*$A8</f>
        <v>2467.2989934000007</v>
      </c>
      <c r="S8" s="28">
        <f>SUM(S6)*$A8</f>
        <v>3470.7182616</v>
      </c>
      <c r="T8" s="28">
        <f>SUM(T6)*$A8</f>
        <v>4229.2160801999999</v>
      </c>
      <c r="U8" s="29">
        <f>SUM(U6)*$A8</f>
        <v>2467.2989934000007</v>
      </c>
      <c r="W8" s="28">
        <f>SUM(W6)*$A8</f>
        <v>3171.1064544000001</v>
      </c>
      <c r="X8" s="28">
        <f>SUM(X6)*$A8</f>
        <v>3992.8892003999999</v>
      </c>
      <c r="Y8" s="29">
        <f>SUM(Y6)*$A8</f>
        <v>2255.2635600000003</v>
      </c>
      <c r="AA8" s="28">
        <f>SUM(AA6)*$A8</f>
        <v>3171.1064544000001</v>
      </c>
      <c r="AB8" s="28">
        <f>SUM(AB6)*$A8</f>
        <v>3992.8892003999999</v>
      </c>
      <c r="AC8" s="29">
        <f>SUM(AC6)*$A8</f>
        <v>2255.2635600000003</v>
      </c>
      <c r="AE8" s="44">
        <f>SUM(AE6)*$A8</f>
        <v>3028.4374608000003</v>
      </c>
      <c r="AF8" s="44">
        <f>SUM(AF6)*$A8</f>
        <v>4111.0526403000003</v>
      </c>
      <c r="AG8" s="45">
        <f>SUM(AG6)*$A8</f>
        <v>2361.2812767</v>
      </c>
      <c r="AI8" s="45"/>
      <c r="AK8" s="44">
        <f t="shared" ref="AK8:AQ8" si="0">SUM(AK6)*$A8</f>
        <v>3028.4374608000003</v>
      </c>
      <c r="AL8" s="44">
        <f t="shared" si="0"/>
        <v>4111.0526403000003</v>
      </c>
      <c r="AM8" s="45">
        <f t="shared" si="0"/>
        <v>2361.2812767</v>
      </c>
      <c r="AN8">
        <f t="shared" si="0"/>
        <v>0</v>
      </c>
      <c r="AO8" s="44">
        <f t="shared" si="0"/>
        <v>3028.4374608000003</v>
      </c>
      <c r="AP8" s="44">
        <f t="shared" si="0"/>
        <v>4111.0526403000003</v>
      </c>
      <c r="AQ8" s="45">
        <f t="shared" si="0"/>
        <v>2361.2812767</v>
      </c>
      <c r="AS8" s="45"/>
      <c r="AU8" s="44">
        <f t="shared" ref="AU8:BA8" si="1">SUM(AU6)*$A8</f>
        <v>3028.4374608000003</v>
      </c>
      <c r="AV8" s="44">
        <f t="shared" si="1"/>
        <v>4111.0526403000003</v>
      </c>
      <c r="AW8" s="45">
        <f t="shared" si="1"/>
        <v>2361.2812767</v>
      </c>
      <c r="AX8">
        <f t="shared" si="1"/>
        <v>0</v>
      </c>
      <c r="AY8" s="44">
        <f t="shared" si="1"/>
        <v>3028.4374608000003</v>
      </c>
      <c r="AZ8" s="44">
        <f t="shared" si="1"/>
        <v>4111.0526403000003</v>
      </c>
      <c r="BA8" s="45">
        <f t="shared" si="1"/>
        <v>2361.2812767</v>
      </c>
      <c r="BC8" s="45"/>
      <c r="BE8" s="44">
        <f>SUM(BE6)*$A8</f>
        <v>3028.4374608000003</v>
      </c>
      <c r="BF8" s="44">
        <f>SUM(BF6)*$A8</f>
        <v>4111.0526403000003</v>
      </c>
      <c r="BG8" s="45">
        <f>SUM(BG6)*$A8</f>
        <v>2361.2812767</v>
      </c>
    </row>
    <row r="9" spans="1:59" x14ac:dyDescent="0.25">
      <c r="A9" s="36"/>
      <c r="B9" s="15" t="s">
        <v>4</v>
      </c>
      <c r="C9" s="30">
        <f>SUM(C6:C8)</f>
        <v>39728.7103536</v>
      </c>
      <c r="D9" s="30">
        <f>SUM(D6:D8)</f>
        <v>62963.732600100004</v>
      </c>
      <c r="E9" s="31">
        <f>SUM(E6:E8)</f>
        <v>37269.721790100004</v>
      </c>
      <c r="G9" s="30">
        <f>SUM(G6:G8)</f>
        <v>50266.9195416</v>
      </c>
      <c r="H9" s="30">
        <f>SUM(H6:H8)</f>
        <v>57829.597520399999</v>
      </c>
      <c r="I9" s="31">
        <f>SUM(I6:I8)</f>
        <v>32663.311560000002</v>
      </c>
      <c r="K9" s="30">
        <f>SUM(K6:K8)</f>
        <v>41795.006227200007</v>
      </c>
      <c r="L9" s="30">
        <f>SUM(L6:L8)</f>
        <v>61252.354240199995</v>
      </c>
      <c r="M9" s="31">
        <f>SUM(M6:M8)</f>
        <v>35734.251713400001</v>
      </c>
      <c r="O9" s="30">
        <f>SUM(O6:O8)</f>
        <v>41795.006227200007</v>
      </c>
      <c r="P9" s="30">
        <f>SUM(P6:P8)</f>
        <v>61252.354240199995</v>
      </c>
      <c r="Q9" s="31">
        <f>SUM(Q6:Q8)</f>
        <v>35734.251713400001</v>
      </c>
      <c r="S9" s="30">
        <f>SUM(S6:S8)</f>
        <v>50266.9195416</v>
      </c>
      <c r="T9" s="30">
        <f>SUM(T6:T8)</f>
        <v>61252.354240199995</v>
      </c>
      <c r="U9" s="31">
        <f>SUM(U6:U8)</f>
        <v>35734.251713400001</v>
      </c>
      <c r="W9" s="30">
        <f>SUM(W6:W8)</f>
        <v>45927.597974399992</v>
      </c>
      <c r="X9" s="30">
        <f>SUM(X6:X8)</f>
        <v>57829.597520399999</v>
      </c>
      <c r="Y9" s="31">
        <f>SUM(Y6:Y8)</f>
        <v>32663.311560000002</v>
      </c>
      <c r="AA9" s="30">
        <f>SUM(AA6:AA8)</f>
        <v>45927.597974399992</v>
      </c>
      <c r="AB9" s="30">
        <f>SUM(AB6:AB8)</f>
        <v>57829.597520399999</v>
      </c>
      <c r="AC9" s="31">
        <f>SUM(AC6:AC8)</f>
        <v>32663.311560000002</v>
      </c>
      <c r="AE9" s="46">
        <f>SUM(AE6:AE8)</f>
        <v>43861.3021008</v>
      </c>
      <c r="AF9" s="46">
        <f>SUM(AF6:AF8)</f>
        <v>59540.9758803</v>
      </c>
      <c r="AG9" s="47">
        <f>SUM(AG6:AG8)</f>
        <v>34198.781636700005</v>
      </c>
      <c r="AI9" s="47"/>
      <c r="AK9" s="46">
        <f>SUM(AK6:AK8)</f>
        <v>43861.3021008</v>
      </c>
      <c r="AL9" s="46">
        <f>SUM(AL6:AL8)</f>
        <v>59540.9758803</v>
      </c>
      <c r="AM9" s="47">
        <f>SUM(AM6:AM8)</f>
        <v>34198.781636700005</v>
      </c>
      <c r="AO9" s="46">
        <f>SUM(AO6:AO8)</f>
        <v>43861.3021008</v>
      </c>
      <c r="AP9" s="46">
        <f>SUM(AP6:AP8)</f>
        <v>59540.9758803</v>
      </c>
      <c r="AQ9" s="47">
        <f>SUM(AQ6:AQ8)</f>
        <v>34198.781636700005</v>
      </c>
      <c r="AS9" s="47"/>
      <c r="AU9" s="46">
        <f>SUM(AU6:AU8)</f>
        <v>43861.3021008</v>
      </c>
      <c r="AV9" s="46">
        <f>SUM(AV6:AV8)</f>
        <v>59540.9758803</v>
      </c>
      <c r="AW9" s="47">
        <f>SUM(AW6:AW8)</f>
        <v>34198.781636700005</v>
      </c>
      <c r="AY9" s="46">
        <f>SUM(AY6:AY8)</f>
        <v>43861.3021008</v>
      </c>
      <c r="AZ9" s="46">
        <f>SUM(AZ6:AZ8)</f>
        <v>59540.9758803</v>
      </c>
      <c r="BA9" s="47">
        <f>SUM(BA6:BA8)</f>
        <v>34198.781636700005</v>
      </c>
      <c r="BC9" s="47"/>
      <c r="BE9" s="46">
        <f>SUM(BE6:BE8)</f>
        <v>43861.3021008</v>
      </c>
      <c r="BF9" s="46">
        <f>SUM(BF6:BF8)</f>
        <v>59540.9758803</v>
      </c>
      <c r="BG9" s="47">
        <f>SUM(BG6:BG8)</f>
        <v>34198.781636700005</v>
      </c>
    </row>
    <row r="10" spans="1:59" x14ac:dyDescent="0.25">
      <c r="A10" s="36">
        <v>0.26634999999999998</v>
      </c>
      <c r="B10" s="4" t="s">
        <v>6</v>
      </c>
      <c r="C10" s="28">
        <f>$A10*C9</f>
        <v>10581.74200268136</v>
      </c>
      <c r="D10" s="28">
        <f>$A10*D9</f>
        <v>16770.390178036636</v>
      </c>
      <c r="E10" s="29">
        <f>$A10*E9</f>
        <v>9926.790398793135</v>
      </c>
      <c r="G10" s="28">
        <f>$A10*G9</f>
        <v>13388.594019905158</v>
      </c>
      <c r="H10" s="28">
        <f>$A10*H9</f>
        <v>15402.913299558539</v>
      </c>
      <c r="I10" s="29">
        <f>$A10*I9</f>
        <v>8699.8730340059992</v>
      </c>
      <c r="K10" s="28">
        <f>$A10*K9</f>
        <v>11132.09990861472</v>
      </c>
      <c r="L10" s="28">
        <f>$A10*L9</f>
        <v>16314.564551877267</v>
      </c>
      <c r="M10" s="29">
        <f>$A10*M9</f>
        <v>9517.8179438640891</v>
      </c>
      <c r="O10" s="28">
        <f>$A10*O9</f>
        <v>11132.09990861472</v>
      </c>
      <c r="P10" s="28">
        <f>$A10*P9</f>
        <v>16314.564551877267</v>
      </c>
      <c r="Q10" s="29">
        <f>$A10*Q9</f>
        <v>9517.8179438640891</v>
      </c>
      <c r="S10" s="28">
        <f>$A10*S9</f>
        <v>13388.594019905158</v>
      </c>
      <c r="T10" s="28">
        <f>$A10*T9</f>
        <v>16314.564551877267</v>
      </c>
      <c r="U10" s="29">
        <f>$A10*U9</f>
        <v>9517.8179438640891</v>
      </c>
      <c r="W10" s="28">
        <f>$A10*W9</f>
        <v>12232.815720481436</v>
      </c>
      <c r="X10" s="28">
        <f>$A10*X9</f>
        <v>15402.913299558539</v>
      </c>
      <c r="Y10" s="29">
        <f>$A10*Y9</f>
        <v>8699.8730340059992</v>
      </c>
      <c r="AA10" s="28">
        <f>$A10*AA9</f>
        <v>12232.815720481436</v>
      </c>
      <c r="AB10" s="28">
        <f>$A10*AB9</f>
        <v>15402.913299558539</v>
      </c>
      <c r="AC10" s="29">
        <f>$A10*AC9</f>
        <v>8699.8730340059992</v>
      </c>
      <c r="AE10" s="44">
        <f>$A10*AE9</f>
        <v>11682.457814548079</v>
      </c>
      <c r="AF10" s="44">
        <f>$A10*AF9</f>
        <v>15858.738925717904</v>
      </c>
      <c r="AG10" s="45">
        <f>$A10*AG9</f>
        <v>9108.8454889350451</v>
      </c>
      <c r="AI10" s="45"/>
      <c r="AK10" s="44">
        <f>$A10*AK9</f>
        <v>11682.457814548079</v>
      </c>
      <c r="AL10" s="44">
        <f>$A10*AL9</f>
        <v>15858.738925717904</v>
      </c>
      <c r="AM10" s="45">
        <f>$A10*AM9</f>
        <v>9108.8454889350451</v>
      </c>
      <c r="AO10" s="44">
        <f>$A10*AO9</f>
        <v>11682.457814548079</v>
      </c>
      <c r="AP10" s="44">
        <f>$A10*AP9</f>
        <v>15858.738925717904</v>
      </c>
      <c r="AQ10" s="45">
        <f>$A10*AQ9</f>
        <v>9108.8454889350451</v>
      </c>
      <c r="AS10" s="45"/>
      <c r="AU10" s="44">
        <f>$A10*AU9</f>
        <v>11682.457814548079</v>
      </c>
      <c r="AV10" s="44">
        <f>$A10*AV9</f>
        <v>15858.738925717904</v>
      </c>
      <c r="AW10" s="45">
        <f>$A10*AW9</f>
        <v>9108.8454889350451</v>
      </c>
      <c r="AY10" s="44">
        <f>$A10*AY9</f>
        <v>11682.457814548079</v>
      </c>
      <c r="AZ10" s="44">
        <f>$A10*AZ9</f>
        <v>15858.738925717904</v>
      </c>
      <c r="BA10" s="45">
        <f>$A10*BA9</f>
        <v>9108.8454889350451</v>
      </c>
      <c r="BC10" s="45"/>
      <c r="BE10" s="44">
        <f>$A10*BE9</f>
        <v>11682.457814548079</v>
      </c>
      <c r="BF10" s="44">
        <f>$A10*BF9</f>
        <v>15858.738925717904</v>
      </c>
      <c r="BG10" s="45">
        <f>$A10*BG9</f>
        <v>9108.8454889350451</v>
      </c>
    </row>
    <row r="11" spans="1:59" x14ac:dyDescent="0.25">
      <c r="A11" s="36">
        <v>0.44640000000000002</v>
      </c>
      <c r="B11" s="4" t="s">
        <v>7</v>
      </c>
      <c r="C11" s="32">
        <f>$A11*C9</f>
        <v>17734.896301847042</v>
      </c>
      <c r="D11" s="32">
        <f>$A11*D9</f>
        <v>28107.010232684643</v>
      </c>
      <c r="E11" s="33">
        <f>$A11*E9</f>
        <v>16637.203807100643</v>
      </c>
      <c r="G11" s="32">
        <f>$A11*G9</f>
        <v>22439.15288337024</v>
      </c>
      <c r="H11" s="32">
        <f>$A11*H9</f>
        <v>25815.132333106561</v>
      </c>
      <c r="I11" s="33">
        <f>$A11*I9</f>
        <v>14580.902280384002</v>
      </c>
      <c r="K11" s="32">
        <f>$A11*K9</f>
        <v>18657.290779822084</v>
      </c>
      <c r="L11" s="32">
        <f>$A11*L9</f>
        <v>27343.050932825277</v>
      </c>
      <c r="M11" s="33">
        <f>$A11*M9</f>
        <v>15951.769964861762</v>
      </c>
      <c r="O11" s="32">
        <f>$A11*O9</f>
        <v>18657.290779822084</v>
      </c>
      <c r="P11" s="32">
        <f>$A11*P9</f>
        <v>27343.050932825277</v>
      </c>
      <c r="Q11" s="33">
        <f>$A11*Q9</f>
        <v>15951.769964861762</v>
      </c>
      <c r="S11" s="32">
        <f>$A11*S9</f>
        <v>22439.15288337024</v>
      </c>
      <c r="T11" s="32">
        <f>$A11*T9</f>
        <v>27343.050932825277</v>
      </c>
      <c r="U11" s="33">
        <f>$A11*U9</f>
        <v>15951.769964861762</v>
      </c>
      <c r="W11" s="32">
        <f>$A11*W9</f>
        <v>20502.079735772157</v>
      </c>
      <c r="X11" s="32">
        <f>$A11*X9</f>
        <v>25815.132333106561</v>
      </c>
      <c r="Y11" s="33">
        <f>$A11*Y9</f>
        <v>14580.902280384002</v>
      </c>
      <c r="AA11" s="32">
        <f>$A11*AA9</f>
        <v>20502.079735772157</v>
      </c>
      <c r="AB11" s="32">
        <f>$A11*AB9</f>
        <v>25815.132333106561</v>
      </c>
      <c r="AC11" s="33">
        <f>$A11*AC9</f>
        <v>14580.902280384002</v>
      </c>
      <c r="AE11" s="48">
        <f>$A11*AE9</f>
        <v>19579.685257797122</v>
      </c>
      <c r="AF11" s="48">
        <f>$A11*AF9</f>
        <v>26579.091632965923</v>
      </c>
      <c r="AG11" s="49">
        <f>$A11*AG9</f>
        <v>15266.336122622883</v>
      </c>
      <c r="AI11" s="49"/>
      <c r="AK11" s="48">
        <f>$A11*AK9</f>
        <v>19579.685257797122</v>
      </c>
      <c r="AL11" s="48">
        <f>$A11*AL9</f>
        <v>26579.091632965923</v>
      </c>
      <c r="AM11" s="49">
        <f>$A11*AM9</f>
        <v>15266.336122622883</v>
      </c>
      <c r="AO11" s="48">
        <f>$A11*AO9</f>
        <v>19579.685257797122</v>
      </c>
      <c r="AP11" s="48">
        <f>$A11*AP9</f>
        <v>26579.091632965923</v>
      </c>
      <c r="AQ11" s="49">
        <f>$A11*AQ9</f>
        <v>15266.336122622883</v>
      </c>
      <c r="AS11" s="49"/>
      <c r="AU11" s="48">
        <f>$A11*AU9</f>
        <v>19579.685257797122</v>
      </c>
      <c r="AV11" s="48">
        <f>$A11*AV9</f>
        <v>26579.091632965923</v>
      </c>
      <c r="AW11" s="49">
        <f>$A11*AW9</f>
        <v>15266.336122622883</v>
      </c>
      <c r="AY11" s="48">
        <f>$A11*AY9</f>
        <v>19579.685257797122</v>
      </c>
      <c r="AZ11" s="48">
        <f>$A11*AZ9</f>
        <v>26579.091632965923</v>
      </c>
      <c r="BA11" s="49">
        <f>$A11*BA9</f>
        <v>15266.336122622883</v>
      </c>
      <c r="BC11" s="49"/>
      <c r="BE11" s="48">
        <f>$A11*BE9</f>
        <v>19579.685257797122</v>
      </c>
      <c r="BF11" s="48">
        <f>$A11*BF9</f>
        <v>26579.091632965923</v>
      </c>
      <c r="BG11" s="49">
        <f>$A11*BG9</f>
        <v>15266.336122622883</v>
      </c>
    </row>
    <row r="12" spans="1:59" x14ac:dyDescent="0.25">
      <c r="A12" s="36"/>
      <c r="B12" s="16" t="s">
        <v>17</v>
      </c>
      <c r="C12" s="32">
        <f>SUM(C9:C11)</f>
        <v>68045.348658128394</v>
      </c>
      <c r="D12" s="32">
        <f>SUM(D9:D11)</f>
        <v>107841.13301082127</v>
      </c>
      <c r="E12" s="33">
        <f>SUM(E9:E11)</f>
        <v>63833.715995993785</v>
      </c>
      <c r="G12" s="32">
        <f>SUM(G9:G11)</f>
        <v>86094.666444875387</v>
      </c>
      <c r="H12" s="32">
        <f>SUM(H9:H11)</f>
        <v>99047.643153065103</v>
      </c>
      <c r="I12" s="33">
        <f>SUM(I9:I11)</f>
        <v>55944.086874390006</v>
      </c>
      <c r="K12" s="32">
        <f>SUM(K9:K11)</f>
        <v>71584.396915636811</v>
      </c>
      <c r="L12" s="32">
        <f>SUM(L9:L11)</f>
        <v>104909.96972490255</v>
      </c>
      <c r="M12" s="33">
        <f>SUM(M9:M11)</f>
        <v>61203.839622125852</v>
      </c>
      <c r="O12" s="32">
        <f>SUM(O9:O11)</f>
        <v>71584.396915636811</v>
      </c>
      <c r="P12" s="32">
        <f>SUM(P9:P11)</f>
        <v>104909.96972490255</v>
      </c>
      <c r="Q12" s="33">
        <f>SUM(Q9:Q11)</f>
        <v>61203.839622125852</v>
      </c>
      <c r="S12" s="32">
        <f>SUM(S9:S11)</f>
        <v>86094.666444875387</v>
      </c>
      <c r="T12" s="32">
        <f>SUM(T9:T11)</f>
        <v>104909.96972490255</v>
      </c>
      <c r="U12" s="33">
        <f>SUM(U9:U11)</f>
        <v>61203.839622125852</v>
      </c>
      <c r="W12" s="32">
        <f>SUM(W9:W11)</f>
        <v>78662.493430653587</v>
      </c>
      <c r="X12" s="32">
        <f>SUM(X9:X11)</f>
        <v>99047.643153065103</v>
      </c>
      <c r="Y12" s="33">
        <f>SUM(Y9:Y11)</f>
        <v>55944.086874390006</v>
      </c>
      <c r="AA12" s="32">
        <f>SUM(AA9:AA11)</f>
        <v>78662.493430653587</v>
      </c>
      <c r="AB12" s="32">
        <f>SUM(AB9:AB11)</f>
        <v>99047.643153065103</v>
      </c>
      <c r="AC12" s="33">
        <f>SUM(AC9:AC11)</f>
        <v>55944.086874390006</v>
      </c>
      <c r="AE12" s="48">
        <f>SUM(AE9:AE11)</f>
        <v>75123.445173145199</v>
      </c>
      <c r="AF12" s="48">
        <f>SUM(AF9:AF11)</f>
        <v>101978.80643898383</v>
      </c>
      <c r="AG12" s="49">
        <f>SUM(AG9:AG11)</f>
        <v>58573.963248257933</v>
      </c>
      <c r="AI12" s="49"/>
      <c r="AK12" s="48">
        <f>SUM(AK9:AK11)</f>
        <v>75123.445173145199</v>
      </c>
      <c r="AL12" s="48">
        <f>SUM(AL9:AL11)</f>
        <v>101978.80643898383</v>
      </c>
      <c r="AM12" s="49">
        <f>SUM(AM9:AM11)</f>
        <v>58573.963248257933</v>
      </c>
      <c r="AO12" s="48">
        <f>SUM(AO9:AO11)</f>
        <v>75123.445173145199</v>
      </c>
      <c r="AP12" s="48">
        <f>SUM(AP9:AP11)</f>
        <v>101978.80643898383</v>
      </c>
      <c r="AQ12" s="49">
        <f>SUM(AQ9:AQ11)</f>
        <v>58573.963248257933</v>
      </c>
      <c r="AS12" s="49"/>
      <c r="AU12" s="48">
        <f>SUM(AU9:AU11)</f>
        <v>75123.445173145199</v>
      </c>
      <c r="AV12" s="48">
        <f>SUM(AV9:AV11)</f>
        <v>101978.80643898383</v>
      </c>
      <c r="AW12" s="49">
        <f>SUM(AW9:AW11)</f>
        <v>58573.963248257933</v>
      </c>
      <c r="AY12" s="48">
        <f>SUM(AY9:AY11)</f>
        <v>75123.445173145199</v>
      </c>
      <c r="AZ12" s="48">
        <f>SUM(AZ9:AZ11)</f>
        <v>101978.80643898383</v>
      </c>
      <c r="BA12" s="49">
        <f>SUM(BA9:BA11)</f>
        <v>58573.963248257933</v>
      </c>
      <c r="BC12" s="49"/>
      <c r="BE12" s="48">
        <f>SUM(BE9:BE11)</f>
        <v>75123.445173145199</v>
      </c>
      <c r="BF12" s="48">
        <f>SUM(BF9:BF11)</f>
        <v>101978.80643898383</v>
      </c>
      <c r="BG12" s="49">
        <f>SUM(BG9:BG11)</f>
        <v>58573.963248257933</v>
      </c>
    </row>
    <row r="13" spans="1:59" x14ac:dyDescent="0.25">
      <c r="A13" s="37"/>
      <c r="B13" s="4"/>
      <c r="C13" s="32"/>
      <c r="D13" s="32"/>
      <c r="E13" s="29"/>
      <c r="G13" s="32"/>
      <c r="H13" s="32"/>
      <c r="I13" s="29"/>
      <c r="K13" s="32"/>
      <c r="L13" s="32"/>
      <c r="M13" s="29"/>
      <c r="O13" s="32"/>
      <c r="P13" s="32"/>
      <c r="Q13" s="29"/>
      <c r="S13" s="32"/>
      <c r="T13" s="32"/>
      <c r="U13" s="29"/>
      <c r="W13" s="32"/>
      <c r="X13" s="32"/>
      <c r="Y13" s="29"/>
      <c r="AA13" s="32"/>
      <c r="AB13" s="32"/>
      <c r="AC13" s="29"/>
      <c r="AE13" s="48"/>
      <c r="AF13" s="48"/>
      <c r="AG13" s="45"/>
      <c r="AI13" s="45"/>
      <c r="AK13" s="48"/>
      <c r="AL13" s="48"/>
      <c r="AM13" s="45"/>
      <c r="AO13" s="48"/>
      <c r="AP13" s="48"/>
      <c r="AQ13" s="45"/>
      <c r="AS13" s="45"/>
      <c r="AU13" s="48"/>
      <c r="AV13" s="48"/>
      <c r="AW13" s="45"/>
      <c r="AY13" s="48"/>
      <c r="AZ13" s="48"/>
      <c r="BA13" s="45"/>
      <c r="BC13" s="45"/>
      <c r="BE13" s="48"/>
      <c r="BF13" s="48"/>
      <c r="BG13" s="45"/>
    </row>
    <row r="14" spans="1:59" x14ac:dyDescent="0.25">
      <c r="A14" s="37">
        <v>7.4999999999999997E-3</v>
      </c>
      <c r="B14" s="4" t="s">
        <v>16</v>
      </c>
      <c r="C14" s="109">
        <f>$A$14</f>
        <v>7.4999999999999997E-3</v>
      </c>
      <c r="D14" s="109">
        <f>$A$14</f>
        <v>7.4999999999999997E-3</v>
      </c>
      <c r="E14" s="109">
        <f>$A$14</f>
        <v>7.4999999999999997E-3</v>
      </c>
      <c r="F14" s="109"/>
      <c r="G14" s="109">
        <f>$A$14</f>
        <v>7.4999999999999997E-3</v>
      </c>
      <c r="H14" s="109">
        <f>$A$14</f>
        <v>7.4999999999999997E-3</v>
      </c>
      <c r="I14" s="109">
        <f>$A$14</f>
        <v>7.4999999999999997E-3</v>
      </c>
      <c r="J14" s="109"/>
      <c r="K14" s="109">
        <f>$A$14</f>
        <v>7.4999999999999997E-3</v>
      </c>
      <c r="L14" s="109">
        <f>$A$14</f>
        <v>7.4999999999999997E-3</v>
      </c>
      <c r="M14" s="109">
        <f>$A$14</f>
        <v>7.4999999999999997E-3</v>
      </c>
      <c r="N14" s="109"/>
      <c r="O14" s="109">
        <f>$A$14</f>
        <v>7.4999999999999997E-3</v>
      </c>
      <c r="P14" s="109">
        <f>$A$14</f>
        <v>7.4999999999999997E-3</v>
      </c>
      <c r="Q14" s="109">
        <f>$A$14</f>
        <v>7.4999999999999997E-3</v>
      </c>
      <c r="R14" s="109"/>
      <c r="S14" s="109">
        <v>0.05</v>
      </c>
      <c r="T14" s="109">
        <v>0.05</v>
      </c>
      <c r="U14" s="109">
        <f>$A$14</f>
        <v>7.4999999999999997E-3</v>
      </c>
      <c r="V14" s="109"/>
      <c r="W14" s="109">
        <f>$A$14</f>
        <v>7.4999999999999997E-3</v>
      </c>
      <c r="X14" s="109">
        <f>$A$14</f>
        <v>7.4999999999999997E-3</v>
      </c>
      <c r="Y14" s="109">
        <f>$A$14</f>
        <v>7.4999999999999997E-3</v>
      </c>
      <c r="Z14" s="109"/>
      <c r="AA14" s="109">
        <f>$A$14</f>
        <v>7.4999999999999997E-3</v>
      </c>
      <c r="AB14" s="109">
        <f>$A$14</f>
        <v>7.4999999999999997E-3</v>
      </c>
      <c r="AC14" s="109">
        <f>$A$14</f>
        <v>7.4999999999999997E-3</v>
      </c>
      <c r="AD14" s="109"/>
      <c r="AE14" s="109">
        <v>0.15</v>
      </c>
      <c r="AF14" s="109">
        <v>0.15</v>
      </c>
      <c r="AG14" s="109">
        <v>0.15</v>
      </c>
      <c r="AH14" s="109"/>
      <c r="AI14" s="109"/>
      <c r="AJ14" s="109"/>
      <c r="AK14" s="109">
        <v>0.15</v>
      </c>
      <c r="AL14" s="109">
        <v>0.15</v>
      </c>
      <c r="AM14" s="109">
        <v>0.15</v>
      </c>
      <c r="AN14" s="109"/>
      <c r="AO14" s="109">
        <v>0.15</v>
      </c>
      <c r="AP14" s="109">
        <v>0.15</v>
      </c>
      <c r="AQ14" s="109">
        <v>0.15</v>
      </c>
      <c r="AR14" s="109"/>
      <c r="AS14" s="109"/>
      <c r="AT14" s="109"/>
      <c r="AU14" s="109">
        <v>0.15</v>
      </c>
      <c r="AV14" s="109">
        <v>0.15</v>
      </c>
      <c r="AW14" s="109">
        <v>0.15</v>
      </c>
      <c r="AX14" s="109"/>
      <c r="AY14" s="109">
        <v>0.15</v>
      </c>
      <c r="AZ14" s="109">
        <v>0.15</v>
      </c>
      <c r="BA14" s="109">
        <v>0.15</v>
      </c>
      <c r="BB14" s="109"/>
      <c r="BC14" s="109"/>
      <c r="BD14" s="109"/>
      <c r="BE14" s="109">
        <v>0.15</v>
      </c>
      <c r="BF14" s="109">
        <v>0.15</v>
      </c>
      <c r="BG14" s="109">
        <v>0.15</v>
      </c>
    </row>
    <row r="15" spans="1:59" x14ac:dyDescent="0.25">
      <c r="A15" s="37"/>
      <c r="B15" s="4"/>
      <c r="C15" s="32">
        <f>C14*C6</f>
        <v>256.84451999999999</v>
      </c>
      <c r="D15" s="32">
        <f>D14*D6</f>
        <v>407.05800749999997</v>
      </c>
      <c r="E15" s="29">
        <f>E14*E6</f>
        <v>240.94725750000001</v>
      </c>
      <c r="G15" s="32">
        <f>G14*G6</f>
        <v>324.97361999999998</v>
      </c>
      <c r="H15" s="32">
        <f>H14*H6</f>
        <v>373.86602999999997</v>
      </c>
      <c r="I15" s="29">
        <f>I14*I6</f>
        <v>211.167</v>
      </c>
      <c r="K15" s="32">
        <f>K14*K6</f>
        <v>270.20303999999999</v>
      </c>
      <c r="L15" s="32">
        <f>L14*L6</f>
        <v>395.99401499999999</v>
      </c>
      <c r="M15" s="29">
        <f>M14*M6</f>
        <v>231.02050500000001</v>
      </c>
      <c r="O15" s="32">
        <f>O14*O6</f>
        <v>270.20303999999999</v>
      </c>
      <c r="P15" s="32">
        <f>P14*P6</f>
        <v>395.99401499999999</v>
      </c>
      <c r="Q15" s="29">
        <f>Q14*Q6</f>
        <v>231.02050500000001</v>
      </c>
      <c r="S15" s="32">
        <f>S14*S6</f>
        <v>2166.4908</v>
      </c>
      <c r="T15" s="32">
        <f>T14*T6</f>
        <v>2639.9601000000002</v>
      </c>
      <c r="U15" s="29">
        <f>U14*U6</f>
        <v>231.02050500000001</v>
      </c>
      <c r="W15" s="32">
        <f>W14*W6</f>
        <v>296.92007999999998</v>
      </c>
      <c r="X15" s="32">
        <f>X14*X6</f>
        <v>373.86602999999997</v>
      </c>
      <c r="Y15" s="29">
        <f>Y14*Y6</f>
        <v>211.167</v>
      </c>
      <c r="AA15" s="32">
        <f>AA14*AA6</f>
        <v>296.92007999999998</v>
      </c>
      <c r="AB15" s="32">
        <f>AB14*AB6</f>
        <v>373.86602999999997</v>
      </c>
      <c r="AC15" s="29">
        <f>AC14*AC6</f>
        <v>211.167</v>
      </c>
      <c r="AE15" s="48">
        <f>AE14*AE6</f>
        <v>5671.2311999999993</v>
      </c>
      <c r="AF15" s="48">
        <f>AF14*AF6</f>
        <v>7698.600449999999</v>
      </c>
      <c r="AG15" s="45">
        <f>AG14*AG6</f>
        <v>4421.8750499999996</v>
      </c>
      <c r="AI15" s="45"/>
      <c r="AK15" s="48">
        <f>AK14*AK6</f>
        <v>5671.2311999999993</v>
      </c>
      <c r="AL15" s="48">
        <f>AL14*AL6</f>
        <v>7698.600449999999</v>
      </c>
      <c r="AM15" s="45">
        <f>AM14*AM6</f>
        <v>4421.8750499999996</v>
      </c>
      <c r="AO15" s="48">
        <f>AO14*AO6</f>
        <v>5671.2311999999993</v>
      </c>
      <c r="AP15" s="48">
        <f>AP14*AP6</f>
        <v>7698.600449999999</v>
      </c>
      <c r="AQ15" s="45">
        <f>AQ14*AQ6</f>
        <v>4421.8750499999996</v>
      </c>
      <c r="AS15" s="45"/>
      <c r="AU15" s="48">
        <f>AU14*AU6</f>
        <v>5671.2311999999993</v>
      </c>
      <c r="AV15" s="48">
        <f>AV14*AV6</f>
        <v>7698.600449999999</v>
      </c>
      <c r="AW15" s="45">
        <f>AW14*AW6</f>
        <v>4421.8750499999996</v>
      </c>
      <c r="AY15" s="48">
        <f>AY14*AY6</f>
        <v>5671.2311999999993</v>
      </c>
      <c r="AZ15" s="48">
        <f>AZ14*AZ6</f>
        <v>7698.600449999999</v>
      </c>
      <c r="BA15" s="45">
        <f>BA14*BA6</f>
        <v>4421.8750499999996</v>
      </c>
      <c r="BC15" s="45"/>
      <c r="BE15" s="48">
        <f>BE14*BE6</f>
        <v>5671.2311999999993</v>
      </c>
      <c r="BF15" s="48">
        <f>BF14*BF6</f>
        <v>7698.600449999999</v>
      </c>
      <c r="BG15" s="45">
        <f>BG14*BG6</f>
        <v>4421.8750499999996</v>
      </c>
    </row>
    <row r="16" spans="1:59" s="140" customFormat="1" x14ac:dyDescent="0.25">
      <c r="A16" s="136"/>
      <c r="B16" s="137" t="s">
        <v>75</v>
      </c>
      <c r="C16" s="138">
        <f>C12+C15</f>
        <v>68302.193178128393</v>
      </c>
      <c r="D16" s="138">
        <f>D12+D15</f>
        <v>108248.19101832127</v>
      </c>
      <c r="E16" s="139">
        <f>E12+E15</f>
        <v>64074.663253493789</v>
      </c>
      <c r="G16" s="138">
        <f>G12+G15</f>
        <v>86419.640064875392</v>
      </c>
      <c r="H16" s="138">
        <f>H12+H15</f>
        <v>99421.509183065107</v>
      </c>
      <c r="I16" s="139">
        <f>I12+I15</f>
        <v>56155.253874390008</v>
      </c>
      <c r="K16" s="138">
        <f>K12+K15</f>
        <v>71854.599955636804</v>
      </c>
      <c r="L16" s="138">
        <f>L12+L15</f>
        <v>105305.96373990255</v>
      </c>
      <c r="M16" s="139">
        <f>M12+M15</f>
        <v>61434.860127125852</v>
      </c>
      <c r="O16" s="138">
        <f>O12+O15</f>
        <v>71854.599955636804</v>
      </c>
      <c r="P16" s="138">
        <f>P12+P15</f>
        <v>105305.96373990255</v>
      </c>
      <c r="Q16" s="139">
        <f>Q12+Q15</f>
        <v>61434.860127125852</v>
      </c>
      <c r="S16" s="138">
        <f>S12+S15</f>
        <v>88261.157244875387</v>
      </c>
      <c r="T16" s="138">
        <f>T12+T15</f>
        <v>107549.92982490255</v>
      </c>
      <c r="U16" s="139">
        <f>U12+U15</f>
        <v>61434.860127125852</v>
      </c>
      <c r="W16" s="138">
        <f>W12+W15</f>
        <v>78959.413510653583</v>
      </c>
      <c r="X16" s="138">
        <f>X12+X15</f>
        <v>99421.509183065107</v>
      </c>
      <c r="Y16" s="139">
        <f>Y12+Y15</f>
        <v>56155.253874390008</v>
      </c>
      <c r="AA16" s="138">
        <f>AA12+AA15</f>
        <v>78959.413510653583</v>
      </c>
      <c r="AB16" s="138">
        <f>AB12+AB15</f>
        <v>99421.509183065107</v>
      </c>
      <c r="AC16" s="139">
        <f>AC12+AC15</f>
        <v>56155.253874390008</v>
      </c>
      <c r="AE16" s="141">
        <f>AE12+AE15</f>
        <v>80794.676373145194</v>
      </c>
      <c r="AF16" s="141">
        <f>AF12+AF15</f>
        <v>109677.40688898382</v>
      </c>
      <c r="AG16" s="142">
        <f>AG12+AG15</f>
        <v>62995.838298257935</v>
      </c>
      <c r="AI16" s="142"/>
      <c r="AK16" s="141">
        <f>AK12+AK15</f>
        <v>80794.676373145194</v>
      </c>
      <c r="AL16" s="141">
        <f>AL12+AL15</f>
        <v>109677.40688898382</v>
      </c>
      <c r="AM16" s="142">
        <f>AM12+AM15</f>
        <v>62995.838298257935</v>
      </c>
      <c r="AO16" s="141">
        <f>AO12+AO15</f>
        <v>80794.676373145194</v>
      </c>
      <c r="AP16" s="141">
        <f>AP12+AP15</f>
        <v>109677.40688898382</v>
      </c>
      <c r="AQ16" s="142">
        <f>AQ12+AQ15</f>
        <v>62995.838298257935</v>
      </c>
      <c r="AS16" s="142"/>
      <c r="AU16" s="141">
        <f>AU12+AU15</f>
        <v>80794.676373145194</v>
      </c>
      <c r="AV16" s="141">
        <f>AV12+AV15</f>
        <v>109677.40688898382</v>
      </c>
      <c r="AW16" s="142">
        <f>AW12+AW15</f>
        <v>62995.838298257935</v>
      </c>
      <c r="AY16" s="141">
        <f>AY12+AY15</f>
        <v>80794.676373145194</v>
      </c>
      <c r="AZ16" s="141">
        <f>AZ12+AZ15</f>
        <v>109677.40688898382</v>
      </c>
      <c r="BA16" s="142">
        <f>BA12+BA15</f>
        <v>62995.838298257935</v>
      </c>
      <c r="BC16" s="142"/>
      <c r="BE16" s="141">
        <f>BE12+BE15</f>
        <v>80794.676373145194</v>
      </c>
      <c r="BF16" s="141">
        <f>BF12+BF15</f>
        <v>109677.40688898382</v>
      </c>
      <c r="BG16" s="142">
        <f>BG12+BG15</f>
        <v>62995.838298257935</v>
      </c>
    </row>
    <row r="17" spans="1:59" x14ac:dyDescent="0.25">
      <c r="A17" s="37"/>
      <c r="B17" s="4"/>
      <c r="C17" s="32"/>
      <c r="D17" s="32"/>
      <c r="E17" s="29"/>
      <c r="G17" s="32"/>
      <c r="H17" s="32"/>
      <c r="I17" s="29"/>
      <c r="K17" s="32"/>
      <c r="L17" s="32"/>
      <c r="M17" s="29"/>
      <c r="O17" s="32"/>
      <c r="P17" s="32"/>
      <c r="Q17" s="29"/>
      <c r="S17" s="32"/>
      <c r="T17" s="32"/>
      <c r="U17" s="29"/>
      <c r="W17" s="32"/>
      <c r="X17" s="32"/>
      <c r="Y17" s="29"/>
      <c r="AA17" s="32"/>
      <c r="AB17" s="32"/>
      <c r="AC17" s="29"/>
      <c r="AE17" s="48"/>
      <c r="AF17" s="48"/>
      <c r="AG17" s="45"/>
      <c r="AI17" s="45"/>
      <c r="AK17" s="48"/>
      <c r="AL17" s="48"/>
      <c r="AM17" s="45"/>
      <c r="AO17" s="48"/>
      <c r="AP17" s="48"/>
      <c r="AQ17" s="45"/>
      <c r="AS17" s="45"/>
      <c r="AU17" s="48"/>
      <c r="AV17" s="48"/>
      <c r="AW17" s="45"/>
      <c r="AY17" s="48"/>
      <c r="AZ17" s="48"/>
      <c r="BA17" s="45"/>
      <c r="BC17" s="45"/>
      <c r="BE17" s="48"/>
      <c r="BF17" s="48"/>
      <c r="BG17" s="45"/>
    </row>
    <row r="18" spans="1:59" x14ac:dyDescent="0.25">
      <c r="A18" s="169">
        <v>1290</v>
      </c>
      <c r="B18" s="4" t="s">
        <v>8</v>
      </c>
      <c r="C18" s="99">
        <f>$A$18</f>
        <v>1290</v>
      </c>
      <c r="D18" s="99">
        <f>$A$18</f>
        <v>1290</v>
      </c>
      <c r="E18" s="99">
        <f>$A$18</f>
        <v>1290</v>
      </c>
      <c r="F18" s="99"/>
      <c r="G18" s="99">
        <f>$A$18</f>
        <v>1290</v>
      </c>
      <c r="H18" s="99">
        <f>$A$18</f>
        <v>1290</v>
      </c>
      <c r="I18" s="99">
        <f>$A$18</f>
        <v>1290</v>
      </c>
      <c r="J18" s="99"/>
      <c r="K18" s="99">
        <f>$A$18</f>
        <v>1290</v>
      </c>
      <c r="L18" s="99">
        <f>$A$18</f>
        <v>1290</v>
      </c>
      <c r="M18" s="99">
        <f>$A$18</f>
        <v>1290</v>
      </c>
      <c r="N18" s="99"/>
      <c r="O18" s="99">
        <f>$A$18</f>
        <v>1290</v>
      </c>
      <c r="P18" s="99">
        <f>$A$18</f>
        <v>1290</v>
      </c>
      <c r="Q18" s="99">
        <f>$A$18</f>
        <v>1290</v>
      </c>
      <c r="R18" s="99"/>
      <c r="S18" s="99">
        <f>$A$18</f>
        <v>1290</v>
      </c>
      <c r="T18" s="99">
        <f>$A$18</f>
        <v>1290</v>
      </c>
      <c r="U18" s="99">
        <f>$A$18</f>
        <v>1290</v>
      </c>
      <c r="V18" s="99"/>
      <c r="W18" s="99">
        <f>$A$18</f>
        <v>1290</v>
      </c>
      <c r="X18" s="99">
        <f>$A$18</f>
        <v>1290</v>
      </c>
      <c r="Y18" s="99">
        <f>$A$18</f>
        <v>1290</v>
      </c>
      <c r="Z18" s="99"/>
      <c r="AA18" s="99">
        <f>$A$18</f>
        <v>1290</v>
      </c>
      <c r="AB18" s="99">
        <f>$A$18</f>
        <v>1290</v>
      </c>
      <c r="AC18" s="99">
        <f>$A$18</f>
        <v>1290</v>
      </c>
      <c r="AD18" s="99"/>
      <c r="AE18" s="99">
        <f>$A$18</f>
        <v>1290</v>
      </c>
      <c r="AF18" s="99">
        <f>$A$18</f>
        <v>1290</v>
      </c>
      <c r="AG18" s="99">
        <f>$A$18</f>
        <v>1290</v>
      </c>
      <c r="AH18" s="99"/>
      <c r="AI18" s="99">
        <f>$A$18</f>
        <v>1290</v>
      </c>
      <c r="AJ18" s="99"/>
      <c r="AK18" s="99">
        <f t="shared" ref="AK18:AQ18" si="2">$A$18</f>
        <v>1290</v>
      </c>
      <c r="AL18" s="99">
        <f t="shared" si="2"/>
        <v>1290</v>
      </c>
      <c r="AM18" s="99">
        <f t="shared" si="2"/>
        <v>1290</v>
      </c>
      <c r="AN18" s="99">
        <f t="shared" si="2"/>
        <v>1290</v>
      </c>
      <c r="AO18" s="99">
        <f t="shared" si="2"/>
        <v>1290</v>
      </c>
      <c r="AP18" s="99">
        <f t="shared" si="2"/>
        <v>1290</v>
      </c>
      <c r="AQ18" s="99">
        <f t="shared" si="2"/>
        <v>1290</v>
      </c>
      <c r="AR18" s="99"/>
      <c r="AS18" s="99">
        <f>$A$18</f>
        <v>1290</v>
      </c>
      <c r="AT18" s="99"/>
      <c r="AU18" s="99">
        <f t="shared" ref="AU18:BA18" si="3">$A$18</f>
        <v>1290</v>
      </c>
      <c r="AV18" s="99">
        <f t="shared" si="3"/>
        <v>1290</v>
      </c>
      <c r="AW18" s="99">
        <f t="shared" si="3"/>
        <v>1290</v>
      </c>
      <c r="AX18" s="99">
        <f t="shared" si="3"/>
        <v>1290</v>
      </c>
      <c r="AY18" s="99">
        <f t="shared" si="3"/>
        <v>1290</v>
      </c>
      <c r="AZ18" s="99">
        <f t="shared" si="3"/>
        <v>1290</v>
      </c>
      <c r="BA18" s="99">
        <f t="shared" si="3"/>
        <v>1290</v>
      </c>
      <c r="BB18" s="99"/>
      <c r="BC18" s="99"/>
      <c r="BD18" s="99"/>
      <c r="BE18" s="99">
        <f>$A$18</f>
        <v>1290</v>
      </c>
      <c r="BF18" s="99">
        <f>$A$18</f>
        <v>1290</v>
      </c>
      <c r="BG18" s="99">
        <f>$A$18</f>
        <v>1290</v>
      </c>
    </row>
    <row r="19" spans="1:59" x14ac:dyDescent="0.25">
      <c r="A19" s="36">
        <v>0.75</v>
      </c>
      <c r="B19" s="4" t="s">
        <v>9</v>
      </c>
      <c r="C19" s="99">
        <f>Gegevens!E5*C18</f>
        <v>851.40000000000009</v>
      </c>
      <c r="D19" s="102">
        <f>D18*Gegevens!E8</f>
        <v>322.5</v>
      </c>
      <c r="E19" s="100">
        <f>E18*$A19</f>
        <v>967.5</v>
      </c>
      <c r="F19" s="101"/>
      <c r="G19" s="99">
        <v>800</v>
      </c>
      <c r="H19" s="102">
        <f>H18*Gegevens!I8</f>
        <v>322.5</v>
      </c>
      <c r="I19" s="100">
        <f>I18*$A19</f>
        <v>967.5</v>
      </c>
      <c r="J19" s="101"/>
      <c r="K19" s="99">
        <f>K18*$A19</f>
        <v>967.5</v>
      </c>
      <c r="L19" s="99">
        <f>L18*$A19</f>
        <v>967.5</v>
      </c>
      <c r="M19" s="100">
        <f>M18*$A19</f>
        <v>967.5</v>
      </c>
      <c r="N19" s="101"/>
      <c r="O19" s="99">
        <f>O18*$A19</f>
        <v>967.5</v>
      </c>
      <c r="P19" s="99">
        <f>P18*$A19</f>
        <v>967.5</v>
      </c>
      <c r="Q19" s="100">
        <f>Q18*$A19</f>
        <v>967.5</v>
      </c>
      <c r="R19" s="101"/>
      <c r="S19" s="99">
        <v>800</v>
      </c>
      <c r="T19" s="102">
        <v>324</v>
      </c>
      <c r="U19" s="100">
        <f>U18*$A19</f>
        <v>967.5</v>
      </c>
      <c r="V19" s="101"/>
      <c r="W19" s="102">
        <f>W18*0.85</f>
        <v>1096.5</v>
      </c>
      <c r="X19" s="102">
        <f>X18*0.25</f>
        <v>322.5</v>
      </c>
      <c r="Y19" s="103">
        <f>Y18*0.85</f>
        <v>1096.5</v>
      </c>
      <c r="Z19" s="101"/>
      <c r="AA19" s="102">
        <f>AA18*0.85</f>
        <v>1096.5</v>
      </c>
      <c r="AB19" s="102">
        <f>AB18*0.25</f>
        <v>322.5</v>
      </c>
      <c r="AC19" s="102">
        <f>AC18*0.85</f>
        <v>1096.5</v>
      </c>
      <c r="AD19" s="101"/>
      <c r="AE19" s="102">
        <f>AE18*1</f>
        <v>1290</v>
      </c>
      <c r="AF19" s="102">
        <f>AF18*1</f>
        <v>1290</v>
      </c>
      <c r="AG19" s="103">
        <f>AG18*1</f>
        <v>1290</v>
      </c>
      <c r="AH19" s="101"/>
      <c r="AI19" s="103"/>
      <c r="AJ19" s="170"/>
      <c r="AK19" s="102">
        <f>AK18*1</f>
        <v>1290</v>
      </c>
      <c r="AL19" s="102">
        <f>AL18*1</f>
        <v>1290</v>
      </c>
      <c r="AM19" s="103">
        <f>AM18*1</f>
        <v>1290</v>
      </c>
      <c r="AN19" s="101"/>
      <c r="AO19" s="102">
        <f>AO18*1</f>
        <v>1290</v>
      </c>
      <c r="AP19" s="102">
        <f>AP18*1</f>
        <v>1290</v>
      </c>
      <c r="AQ19" s="103">
        <f>AQ18*1</f>
        <v>1290</v>
      </c>
      <c r="AR19" s="101"/>
      <c r="AS19" s="103"/>
      <c r="AT19" s="170"/>
      <c r="AU19" s="102">
        <f>AU18*1</f>
        <v>1290</v>
      </c>
      <c r="AV19" s="102">
        <f>AV18*1</f>
        <v>1290</v>
      </c>
      <c r="AW19" s="103">
        <f>AW18*1</f>
        <v>1290</v>
      </c>
      <c r="AX19" s="170"/>
      <c r="AY19" s="102">
        <f>AY18*1</f>
        <v>1290</v>
      </c>
      <c r="AZ19" s="102">
        <f>AZ18*1</f>
        <v>1290</v>
      </c>
      <c r="BA19" s="102">
        <f>BA18*1</f>
        <v>1290</v>
      </c>
      <c r="BB19" s="170"/>
      <c r="BC19" s="103"/>
      <c r="BD19" s="170"/>
      <c r="BE19" s="102">
        <f>BE18*0.85</f>
        <v>1096.5</v>
      </c>
      <c r="BF19" s="102">
        <f>BF18*0.85</f>
        <v>1096.5</v>
      </c>
      <c r="BG19" s="103">
        <f>BG18*0.85</f>
        <v>1096.5</v>
      </c>
    </row>
    <row r="20" spans="1:59" x14ac:dyDescent="0.25">
      <c r="A20" s="36">
        <v>0.25</v>
      </c>
      <c r="B20" s="16" t="s">
        <v>76</v>
      </c>
      <c r="C20" s="99">
        <f>C18-C19</f>
        <v>438.59999999999991</v>
      </c>
      <c r="D20" s="102">
        <f>D18-D19</f>
        <v>967.5</v>
      </c>
      <c r="E20" s="100">
        <f>E18-E19</f>
        <v>322.5</v>
      </c>
      <c r="F20" s="101"/>
      <c r="G20" s="99">
        <f>G18-G19</f>
        <v>490</v>
      </c>
      <c r="H20" s="102">
        <f>H18-H19</f>
        <v>967.5</v>
      </c>
      <c r="I20" s="100">
        <f>I18-I19</f>
        <v>322.5</v>
      </c>
      <c r="J20" s="101"/>
      <c r="K20" s="99">
        <f>K18-K19</f>
        <v>322.5</v>
      </c>
      <c r="L20" s="99">
        <f>L18-L19</f>
        <v>322.5</v>
      </c>
      <c r="M20" s="100">
        <f>M18-M19</f>
        <v>322.5</v>
      </c>
      <c r="N20" s="101"/>
      <c r="O20" s="99">
        <f>O18-O19</f>
        <v>322.5</v>
      </c>
      <c r="P20" s="99">
        <f>P18-P19</f>
        <v>322.5</v>
      </c>
      <c r="Q20" s="100">
        <f>Q18-Q19</f>
        <v>322.5</v>
      </c>
      <c r="R20" s="101"/>
      <c r="S20" s="99">
        <f>S18-S19</f>
        <v>490</v>
      </c>
      <c r="T20" s="102">
        <v>972</v>
      </c>
      <c r="U20" s="100">
        <f>U18-U19</f>
        <v>322.5</v>
      </c>
      <c r="V20" s="101"/>
      <c r="W20" s="102">
        <f>W18-W19</f>
        <v>193.5</v>
      </c>
      <c r="X20" s="102">
        <f>X18-X19</f>
        <v>967.5</v>
      </c>
      <c r="Y20" s="103">
        <f>Y18-Y19</f>
        <v>193.5</v>
      </c>
      <c r="Z20" s="101"/>
      <c r="AA20" s="102">
        <f>AA18-AA19</f>
        <v>193.5</v>
      </c>
      <c r="AB20" s="102">
        <f>AB18-AB19</f>
        <v>967.5</v>
      </c>
      <c r="AC20" s="102">
        <f>AC18-AC19</f>
        <v>193.5</v>
      </c>
      <c r="AD20" s="101"/>
      <c r="AE20" s="102">
        <v>0</v>
      </c>
      <c r="AF20" s="102">
        <v>0</v>
      </c>
      <c r="AG20" s="103">
        <v>0</v>
      </c>
      <c r="AH20" s="101"/>
      <c r="AI20" s="103"/>
      <c r="AJ20" s="170"/>
      <c r="AK20" s="102">
        <f>AK18-AK19</f>
        <v>0</v>
      </c>
      <c r="AL20" s="102">
        <f>AL18-AL19</f>
        <v>0</v>
      </c>
      <c r="AM20" s="103">
        <f>AM18-AM19</f>
        <v>0</v>
      </c>
      <c r="AN20" s="101"/>
      <c r="AO20" s="102">
        <f>AO18-AO19</f>
        <v>0</v>
      </c>
      <c r="AP20" s="102">
        <f>AP18-AP19</f>
        <v>0</v>
      </c>
      <c r="AQ20" s="103">
        <f>AQ18-AQ19</f>
        <v>0</v>
      </c>
      <c r="AR20" s="101"/>
      <c r="AS20" s="103"/>
      <c r="AT20" s="170"/>
      <c r="AU20" s="102">
        <f>AU18-AU19</f>
        <v>0</v>
      </c>
      <c r="AV20" s="102">
        <f>AV18-AV19</f>
        <v>0</v>
      </c>
      <c r="AW20" s="103">
        <f>AW18-AW19</f>
        <v>0</v>
      </c>
      <c r="AX20" s="170"/>
      <c r="AY20" s="102">
        <f>AY18-AY19</f>
        <v>0</v>
      </c>
      <c r="AZ20" s="102">
        <f>AZ18-AZ19</f>
        <v>0</v>
      </c>
      <c r="BA20" s="103">
        <f>BA18-BA19</f>
        <v>0</v>
      </c>
      <c r="BB20" s="170"/>
      <c r="BC20" s="103"/>
      <c r="BD20" s="170"/>
      <c r="BE20" s="102">
        <f>BE18-BE19</f>
        <v>193.5</v>
      </c>
      <c r="BF20" s="102">
        <f>BF18-BF19</f>
        <v>193.5</v>
      </c>
      <c r="BG20" s="103">
        <f>BG18-BG19</f>
        <v>193.5</v>
      </c>
    </row>
    <row r="21" spans="1:59" x14ac:dyDescent="0.25">
      <c r="A21" s="37"/>
      <c r="B21" s="4"/>
      <c r="C21" s="28"/>
      <c r="D21" s="28"/>
      <c r="E21" s="29"/>
      <c r="G21" s="28"/>
      <c r="H21" s="28"/>
      <c r="I21" s="29"/>
      <c r="K21" s="28"/>
      <c r="L21" s="28"/>
      <c r="M21" s="29"/>
      <c r="O21" s="28"/>
      <c r="P21" s="28"/>
      <c r="Q21" s="29"/>
      <c r="S21" s="28"/>
      <c r="T21" s="28"/>
      <c r="U21" s="29"/>
      <c r="W21" s="28"/>
      <c r="X21" s="28"/>
      <c r="Y21" s="29"/>
      <c r="AA21" s="28"/>
      <c r="AB21" s="28"/>
      <c r="AC21" s="29"/>
      <c r="AE21" s="44"/>
      <c r="AF21" s="44"/>
      <c r="AG21" s="45"/>
      <c r="AI21" s="45"/>
      <c r="AK21" s="44">
        <v>0</v>
      </c>
      <c r="AL21" s="44"/>
      <c r="AM21" s="45"/>
      <c r="AO21" s="44"/>
      <c r="AP21" s="44"/>
      <c r="AQ21" s="45"/>
      <c r="AS21" s="45"/>
      <c r="AU21" s="44"/>
      <c r="AV21" s="44"/>
      <c r="AW21" s="45"/>
      <c r="AY21" s="44"/>
      <c r="AZ21" s="44"/>
      <c r="BA21" s="45"/>
      <c r="BC21" s="45"/>
      <c r="BE21" s="44"/>
      <c r="BF21" s="44"/>
      <c r="BG21" s="45"/>
    </row>
    <row r="22" spans="1:59" x14ac:dyDescent="0.25">
      <c r="A22" s="37"/>
      <c r="B22" s="16" t="s">
        <v>10</v>
      </c>
      <c r="C22" s="28">
        <f>C16/C19</f>
        <v>80.223388745746277</v>
      </c>
      <c r="D22" s="28">
        <f>D16/D19</f>
        <v>335.65330548316672</v>
      </c>
      <c r="E22" s="29">
        <f>E16/E19</f>
        <v>66.227042122474202</v>
      </c>
      <c r="G22" s="28">
        <f>G16/G19</f>
        <v>108.02455008109423</v>
      </c>
      <c r="H22" s="28">
        <f>H16/H19</f>
        <v>308.28374940485304</v>
      </c>
      <c r="I22" s="29">
        <f>I16/I19</f>
        <v>58.041606071720935</v>
      </c>
      <c r="K22" s="28">
        <f>K16/K19</f>
        <v>74.268320367583257</v>
      </c>
      <c r="L22" s="28">
        <f>L16/L19</f>
        <v>108.84337337457629</v>
      </c>
      <c r="M22" s="29">
        <f>M16/M19</f>
        <v>63.498563438889768</v>
      </c>
      <c r="O22" s="28">
        <f>O16/O19</f>
        <v>74.268320367583257</v>
      </c>
      <c r="P22" s="28">
        <f>P16/P19</f>
        <v>108.84337337457629</v>
      </c>
      <c r="Q22" s="29">
        <f>Q16/Q19</f>
        <v>63.498563438889768</v>
      </c>
      <c r="S22" s="28">
        <f>S16/S19</f>
        <v>110.32644655609424</v>
      </c>
      <c r="T22" s="28">
        <f>T16/T19</f>
        <v>331.94422785463746</v>
      </c>
      <c r="U22" s="29">
        <f>U16/U19</f>
        <v>63.498563438889768</v>
      </c>
      <c r="W22" s="28">
        <f>W16/W19</f>
        <v>72.010409038443754</v>
      </c>
      <c r="X22" s="28">
        <f>X16/X19</f>
        <v>308.28374940485304</v>
      </c>
      <c r="Y22" s="29">
        <f>Y16/Y19</f>
        <v>51.213181827989061</v>
      </c>
      <c r="AA22" s="28">
        <f>AA16/AA19</f>
        <v>72.010409038443754</v>
      </c>
      <c r="AB22" s="28">
        <f>AB16/AB19</f>
        <v>308.28374940485304</v>
      </c>
      <c r="AC22" s="29">
        <f>AC16/AC19</f>
        <v>51.213181827989061</v>
      </c>
      <c r="AE22" s="44">
        <f>AE16/AE19</f>
        <v>62.631532072205573</v>
      </c>
      <c r="AF22" s="44">
        <f>AF16/AF19</f>
        <v>85.02124565037505</v>
      </c>
      <c r="AG22" s="45">
        <f>AG16/AG19</f>
        <v>48.833983176944137</v>
      </c>
      <c r="AI22" s="45"/>
      <c r="AK22" s="44">
        <f>AK16/AK19</f>
        <v>62.631532072205573</v>
      </c>
      <c r="AL22" s="44">
        <f>AL16/AL19</f>
        <v>85.02124565037505</v>
      </c>
      <c r="AM22" s="45">
        <f>AM16/AM19</f>
        <v>48.833983176944137</v>
      </c>
      <c r="AO22" s="44">
        <f>AO16/AO19</f>
        <v>62.631532072205573</v>
      </c>
      <c r="AP22" s="44">
        <f>AP16/AP19</f>
        <v>85.02124565037505</v>
      </c>
      <c r="AQ22" s="45">
        <f>AQ16/AQ19</f>
        <v>48.833983176944137</v>
      </c>
      <c r="AS22" s="45"/>
      <c r="AU22" s="44">
        <f>AU16/AU19</f>
        <v>62.631532072205573</v>
      </c>
      <c r="AV22" s="44">
        <f>AV16/AV19</f>
        <v>85.02124565037505</v>
      </c>
      <c r="AW22" s="45">
        <f>AW16/AW19</f>
        <v>48.833983176944137</v>
      </c>
      <c r="AY22" s="44">
        <f>AY16/AY19</f>
        <v>62.631532072205573</v>
      </c>
      <c r="AZ22" s="44">
        <f>AZ16/AZ19</f>
        <v>85.02124565037505</v>
      </c>
      <c r="BA22" s="45">
        <f>BA16/BA19</f>
        <v>48.833983176944137</v>
      </c>
      <c r="BC22" s="45"/>
      <c r="BE22" s="44">
        <f>BE16/BE19</f>
        <v>73.684155379065388</v>
      </c>
      <c r="BF22" s="44">
        <f>BF16/BF19</f>
        <v>100.02499488279419</v>
      </c>
      <c r="BG22" s="45">
        <f>BG16/BG19</f>
        <v>57.451744914051922</v>
      </c>
    </row>
    <row r="23" spans="1:59" x14ac:dyDescent="0.25">
      <c r="A23" s="37"/>
      <c r="B23" s="16" t="s">
        <v>81</v>
      </c>
      <c r="C23" s="28">
        <f>C12/C18</f>
        <v>52.748332293122786</v>
      </c>
      <c r="D23" s="28">
        <f>D12/D18</f>
        <v>83.597777527768429</v>
      </c>
      <c r="E23" s="29">
        <f>E12/E18</f>
        <v>49.483500772088206</v>
      </c>
      <c r="G23" s="28">
        <f>G12/G18</f>
        <v>66.740051507655338</v>
      </c>
      <c r="H23" s="28">
        <f>H12/H18</f>
        <v>76.781118723306278</v>
      </c>
      <c r="I23" s="29">
        <f>I12/I18</f>
        <v>43.367509204953492</v>
      </c>
      <c r="K23" s="28">
        <f>K12/K18</f>
        <v>55.49178055475722</v>
      </c>
      <c r="L23" s="28">
        <f>L12/L18</f>
        <v>81.32555792628105</v>
      </c>
      <c r="M23" s="29">
        <f>M12/M18</f>
        <v>47.44483691637663</v>
      </c>
      <c r="O23" s="28">
        <f>O12/O18</f>
        <v>55.49178055475722</v>
      </c>
      <c r="P23" s="28">
        <f>P12/P18</f>
        <v>81.32555792628105</v>
      </c>
      <c r="Q23" s="29">
        <f>Q12/Q18</f>
        <v>47.44483691637663</v>
      </c>
      <c r="S23" s="28">
        <f>S12/S18</f>
        <v>66.740051507655338</v>
      </c>
      <c r="T23" s="28">
        <f>T12/T18</f>
        <v>81.32555792628105</v>
      </c>
      <c r="U23" s="29">
        <f>U12/U18</f>
        <v>47.44483691637663</v>
      </c>
      <c r="W23" s="28">
        <f>W12/W18</f>
        <v>60.978677078026038</v>
      </c>
      <c r="X23" s="28">
        <f>X12/X18</f>
        <v>76.781118723306278</v>
      </c>
      <c r="Y23" s="29">
        <f>Y12/Y18</f>
        <v>43.367509204953492</v>
      </c>
      <c r="AA23" s="28">
        <f>AA12/AA18</f>
        <v>60.978677078026038</v>
      </c>
      <c r="AB23" s="28">
        <f>AB12/AB18</f>
        <v>76.781118723306278</v>
      </c>
      <c r="AC23" s="29">
        <f>AC12/AC18</f>
        <v>43.367509204953492</v>
      </c>
      <c r="AE23" s="44">
        <f>AE12/AE18</f>
        <v>58.235228816391626</v>
      </c>
      <c r="AF23" s="44">
        <f>AF12/AF18</f>
        <v>79.053338324793657</v>
      </c>
      <c r="AG23" s="45">
        <f>AG12/AG18</f>
        <v>45.406173060665061</v>
      </c>
      <c r="AI23" s="45"/>
      <c r="AK23" s="44">
        <f>AK12/AK18</f>
        <v>58.235228816391626</v>
      </c>
      <c r="AL23" s="44">
        <f>AL12/AL18</f>
        <v>79.053338324793657</v>
      </c>
      <c r="AM23" s="45">
        <f>AM12/AM18</f>
        <v>45.406173060665061</v>
      </c>
      <c r="AO23" s="44">
        <f>AO12/AO18</f>
        <v>58.235228816391626</v>
      </c>
      <c r="AP23" s="44">
        <f>AP12/AP18</f>
        <v>79.053338324793657</v>
      </c>
      <c r="AQ23" s="45">
        <f>AQ12/AQ18</f>
        <v>45.406173060665061</v>
      </c>
      <c r="AS23" s="45"/>
      <c r="AU23" s="44">
        <f>AU12/AU18</f>
        <v>58.235228816391626</v>
      </c>
      <c r="AV23" s="44">
        <f>AV12/AV18</f>
        <v>79.053338324793657</v>
      </c>
      <c r="AW23" s="45">
        <f>AW12/AW18</f>
        <v>45.406173060665061</v>
      </c>
      <c r="AY23" s="44">
        <f>AY12/AY18</f>
        <v>58.235228816391626</v>
      </c>
      <c r="AZ23" s="44">
        <f>AZ12/AZ18</f>
        <v>79.053338324793657</v>
      </c>
      <c r="BA23" s="45">
        <f>BA12/BA18</f>
        <v>45.406173060665061</v>
      </c>
      <c r="BC23" s="45"/>
      <c r="BE23" s="44">
        <f>BE12/BE18</f>
        <v>58.235228816391626</v>
      </c>
      <c r="BF23" s="44">
        <f>BF12/BF18</f>
        <v>79.053338324793657</v>
      </c>
      <c r="BG23" s="45">
        <f>BG12/BG18</f>
        <v>45.406173060665061</v>
      </c>
    </row>
    <row r="24" spans="1:59" x14ac:dyDescent="0.25">
      <c r="A24" s="37"/>
      <c r="B24" s="4"/>
      <c r="C24" s="106"/>
      <c r="D24" s="106"/>
      <c r="E24" s="33"/>
      <c r="G24" s="106"/>
      <c r="H24" s="106"/>
      <c r="I24" s="33"/>
      <c r="K24" s="32"/>
      <c r="L24" s="32"/>
      <c r="M24" s="33"/>
      <c r="O24" s="32"/>
      <c r="P24" s="32"/>
      <c r="Q24" s="33"/>
      <c r="S24" s="32"/>
      <c r="T24" s="32"/>
      <c r="U24" s="33"/>
      <c r="W24" s="32"/>
      <c r="X24" s="32"/>
      <c r="Y24" s="33"/>
      <c r="AA24" s="32"/>
      <c r="AB24" s="32"/>
      <c r="AC24" s="33"/>
      <c r="AE24" s="48"/>
      <c r="AF24" s="48"/>
      <c r="AG24" s="49"/>
      <c r="AI24" s="49"/>
      <c r="AK24" s="48"/>
      <c r="AL24" s="48"/>
      <c r="AM24" s="49"/>
      <c r="AO24" s="48"/>
      <c r="AP24" s="48"/>
      <c r="AQ24" s="49"/>
      <c r="AS24" s="49"/>
      <c r="AU24" s="48"/>
      <c r="AV24" s="48"/>
      <c r="AW24" s="49"/>
      <c r="AY24" s="48"/>
      <c r="AZ24" s="48"/>
      <c r="BA24" s="49"/>
      <c r="BC24" s="49"/>
      <c r="BE24" s="48"/>
      <c r="BF24" s="48"/>
      <c r="BG24" s="49"/>
    </row>
    <row r="25" spans="1:59" x14ac:dyDescent="0.25">
      <c r="B25" s="16" t="s">
        <v>82</v>
      </c>
      <c r="C25" s="32">
        <f>C22*C4</f>
        <v>76.212219308458955</v>
      </c>
      <c r="D25" s="32">
        <f>D22*D4</f>
        <v>16.782665274158337</v>
      </c>
      <c r="E25" s="33">
        <f>E22*E4</f>
        <v>0</v>
      </c>
      <c r="G25" s="32">
        <f>G22*G4</f>
        <v>102.62332257703952</v>
      </c>
      <c r="H25" s="32">
        <f>H22*H4</f>
        <v>15.414187470242652</v>
      </c>
      <c r="I25" s="33">
        <f>I22*I4</f>
        <v>0</v>
      </c>
      <c r="K25" s="32">
        <f>K22*K4</f>
        <v>0</v>
      </c>
      <c r="L25" s="32">
        <f>L22*L4</f>
        <v>108.84337337457629</v>
      </c>
      <c r="M25" s="33">
        <f>M22*M4</f>
        <v>0</v>
      </c>
      <c r="O25" s="32">
        <f>O22*O4</f>
        <v>0</v>
      </c>
      <c r="P25" s="32">
        <f>P22*P4</f>
        <v>108.84337337457629</v>
      </c>
      <c r="Q25" s="33">
        <f>Q22*Q4</f>
        <v>0</v>
      </c>
      <c r="S25" s="32">
        <f>S22*S4</f>
        <v>104.81012422828952</v>
      </c>
      <c r="T25" s="32">
        <f>T22*T4</f>
        <v>16.597211392731875</v>
      </c>
      <c r="U25" s="33">
        <f>U22*U4</f>
        <v>0</v>
      </c>
      <c r="W25" s="32">
        <f>W22*W4</f>
        <v>72.010409038443754</v>
      </c>
      <c r="X25" s="32">
        <f>X22*X4</f>
        <v>61.656749880970608</v>
      </c>
      <c r="Y25" s="33">
        <f>Y22*Y4</f>
        <v>51.213181827989061</v>
      </c>
      <c r="AA25" s="32">
        <f>AA22*AA4</f>
        <v>144.02081807688751</v>
      </c>
      <c r="AB25" s="32">
        <f>AB22*AB4</f>
        <v>61.656749880970608</v>
      </c>
      <c r="AC25" s="33">
        <f>AC22*AC4</f>
        <v>0</v>
      </c>
      <c r="AE25" s="48">
        <f>AE22*AE4</f>
        <v>37.979761048585459</v>
      </c>
      <c r="AF25" s="48">
        <f>AF22*AF4</f>
        <v>0</v>
      </c>
      <c r="AG25" s="49">
        <f>AG22*AG4</f>
        <v>19.221055778445212</v>
      </c>
      <c r="AI25" s="119" t="s">
        <v>72</v>
      </c>
      <c r="AK25" s="48">
        <f>AK22*AK4</f>
        <v>34.798079219317415</v>
      </c>
      <c r="AL25" s="48">
        <f>AL22*AL4</f>
        <v>0</v>
      </c>
      <c r="AM25" s="49">
        <f>AM22*AM4</f>
        <v>21.701822123833974</v>
      </c>
      <c r="AO25" s="48">
        <f>AO22*AO4</f>
        <v>37.979761048585459</v>
      </c>
      <c r="AP25" s="48">
        <f>AP22*AP4</f>
        <v>0</v>
      </c>
      <c r="AQ25" s="49">
        <f>AQ22*AQ4</f>
        <v>19.221055778445212</v>
      </c>
      <c r="AS25" s="119" t="s">
        <v>72</v>
      </c>
      <c r="AU25" s="48">
        <f>AU22*AU4</f>
        <v>34.798079219317415</v>
      </c>
      <c r="AV25" s="48">
        <f>AV22*AV4</f>
        <v>0</v>
      </c>
      <c r="AW25" s="49">
        <f>AW22*AW4</f>
        <v>21.701822123833974</v>
      </c>
      <c r="AY25" s="48">
        <f>AY22*AY4</f>
        <v>62.631532072205573</v>
      </c>
      <c r="AZ25" s="48">
        <f>AZ22*AZ4</f>
        <v>0</v>
      </c>
      <c r="BA25" s="49">
        <f>BA22*BA4</f>
        <v>0</v>
      </c>
      <c r="BC25" s="119" t="s">
        <v>72</v>
      </c>
      <c r="BE25" s="48">
        <f>BE22*BE4</f>
        <v>73.684155379065388</v>
      </c>
      <c r="BF25" s="48">
        <f>BF22*BF4</f>
        <v>0</v>
      </c>
      <c r="BG25" s="49">
        <f>BG22*BG4</f>
        <v>0</v>
      </c>
    </row>
    <row r="26" spans="1:59" x14ac:dyDescent="0.25">
      <c r="B26" s="16" t="s">
        <v>83</v>
      </c>
      <c r="C26" s="32">
        <f>C23*C4</f>
        <v>50.110915678466647</v>
      </c>
      <c r="D26" s="32">
        <f>D23*D4</f>
        <v>4.1798888763884214</v>
      </c>
      <c r="E26" s="33">
        <f>E23*E4</f>
        <v>0</v>
      </c>
      <c r="G26" s="32">
        <f>G23*G4</f>
        <v>63.403048932272569</v>
      </c>
      <c r="H26" s="32">
        <f>H23*H4</f>
        <v>3.8390559361653143</v>
      </c>
      <c r="I26" s="33">
        <f>I23*I4</f>
        <v>0</v>
      </c>
      <c r="K26" s="32">
        <f>K23*K4</f>
        <v>0</v>
      </c>
      <c r="L26" s="32">
        <f>L23*L4</f>
        <v>81.32555792628105</v>
      </c>
      <c r="M26" s="33">
        <f>M23*M4</f>
        <v>0</v>
      </c>
      <c r="O26" s="32">
        <f>O23*O4</f>
        <v>0</v>
      </c>
      <c r="P26" s="32">
        <f>P23*P4</f>
        <v>81.32555792628105</v>
      </c>
      <c r="Q26" s="33">
        <f>Q23*Q4</f>
        <v>0</v>
      </c>
      <c r="S26" s="32">
        <f>S23*S4</f>
        <v>63.403048932272569</v>
      </c>
      <c r="T26" s="32">
        <f>T23*T4</f>
        <v>4.0662778963140527</v>
      </c>
      <c r="U26" s="33">
        <f>U23*U4</f>
        <v>0</v>
      </c>
      <c r="W26" s="32">
        <f>W23*W4</f>
        <v>60.978677078026038</v>
      </c>
      <c r="X26" s="32">
        <f>X23*X4</f>
        <v>15.356223744661257</v>
      </c>
      <c r="Y26" s="33">
        <f>Y23*Y4</f>
        <v>43.367509204953492</v>
      </c>
      <c r="AA26" s="32">
        <f>AA23*AA4</f>
        <v>121.95735415605208</v>
      </c>
      <c r="AB26" s="32">
        <f>AB23*AB4</f>
        <v>15.356223744661257</v>
      </c>
      <c r="AC26" s="33">
        <f>AC23*AC4</f>
        <v>0</v>
      </c>
      <c r="AE26" s="48">
        <f>AE23*AE4</f>
        <v>35.313842754259888</v>
      </c>
      <c r="AF26" s="48">
        <f>AF23*AF4</f>
        <v>0</v>
      </c>
      <c r="AG26" s="49">
        <f>AG23*AG4</f>
        <v>17.871869716677768</v>
      </c>
      <c r="AI26" s="49"/>
      <c r="AK26" s="48">
        <f>AK23*AK4</f>
        <v>32.355493130387188</v>
      </c>
      <c r="AL26" s="48">
        <f>AL23*AL4</f>
        <v>0</v>
      </c>
      <c r="AM26" s="49">
        <f>AM23*AM4</f>
        <v>20.178503308159556</v>
      </c>
      <c r="AO26" s="48">
        <f>AO23*AO4</f>
        <v>35.313842754259888</v>
      </c>
      <c r="AP26" s="48">
        <f>AP23*AP4</f>
        <v>0</v>
      </c>
      <c r="AQ26" s="49">
        <f>AQ23*AQ4</f>
        <v>17.871869716677768</v>
      </c>
      <c r="AS26" s="49"/>
      <c r="AU26" s="48">
        <f>AU23*AU4</f>
        <v>32.355493130387188</v>
      </c>
      <c r="AV26" s="48">
        <f>AV23*AV4</f>
        <v>0</v>
      </c>
      <c r="AW26" s="49">
        <f>AW23*AW4</f>
        <v>20.178503308159556</v>
      </c>
      <c r="AY26" s="48">
        <f>AY23*AY4</f>
        <v>58.235228816391626</v>
      </c>
      <c r="AZ26" s="48">
        <f>AZ23*AZ4</f>
        <v>0</v>
      </c>
      <c r="BA26" s="49">
        <f>BA23*BA4</f>
        <v>0</v>
      </c>
      <c r="BC26" s="49"/>
      <c r="BE26" s="48">
        <f>BE23*BE4</f>
        <v>58.235228816391626</v>
      </c>
      <c r="BF26" s="48">
        <f>BF23*BF4</f>
        <v>0</v>
      </c>
      <c r="BG26" s="49">
        <f>BG23*BG4</f>
        <v>0</v>
      </c>
    </row>
    <row r="27" spans="1:59" x14ac:dyDescent="0.25">
      <c r="B27" s="16"/>
      <c r="C27" s="32"/>
      <c r="D27" s="34"/>
      <c r="E27" s="35"/>
      <c r="G27" s="32"/>
      <c r="H27" s="34"/>
      <c r="I27" s="35"/>
      <c r="K27" s="32"/>
      <c r="L27" s="34"/>
      <c r="M27" s="35"/>
      <c r="O27" s="32"/>
      <c r="P27" s="34"/>
      <c r="Q27" s="35"/>
      <c r="S27" s="32"/>
      <c r="T27" s="34"/>
      <c r="U27" s="35"/>
      <c r="W27" s="32"/>
      <c r="X27" s="34"/>
      <c r="Y27" s="35"/>
      <c r="AA27" s="32"/>
      <c r="AB27" s="34"/>
      <c r="AC27" s="35"/>
      <c r="AE27" s="48"/>
      <c r="AF27" s="50"/>
      <c r="AG27" s="51"/>
      <c r="AI27" s="150">
        <v>0.97</v>
      </c>
      <c r="AK27" s="48"/>
      <c r="AL27" s="50"/>
      <c r="AM27" s="51"/>
      <c r="AO27" s="48"/>
      <c r="AP27" s="50"/>
      <c r="AQ27" s="51"/>
      <c r="AS27" s="150">
        <v>0.85</v>
      </c>
      <c r="AU27" s="48"/>
      <c r="AV27" s="50"/>
      <c r="AW27" s="51"/>
      <c r="AY27" s="48"/>
      <c r="AZ27" s="50"/>
      <c r="BA27" s="51"/>
      <c r="BC27" s="150">
        <v>0.97</v>
      </c>
      <c r="BE27" s="48"/>
      <c r="BF27" s="50"/>
      <c r="BG27" s="51"/>
    </row>
    <row r="28" spans="1:59" x14ac:dyDescent="0.25">
      <c r="A28" t="s">
        <v>24</v>
      </c>
      <c r="B28" s="16"/>
      <c r="C28" s="32"/>
      <c r="D28" s="34"/>
      <c r="E28" s="35"/>
      <c r="G28" s="32"/>
      <c r="H28" s="34"/>
      <c r="I28" s="35"/>
      <c r="K28" s="32"/>
      <c r="L28" s="34"/>
      <c r="M28" s="35"/>
      <c r="O28" s="32"/>
      <c r="P28" s="34"/>
      <c r="Q28" s="35"/>
      <c r="S28" s="32"/>
      <c r="T28" s="34"/>
      <c r="U28" s="35"/>
      <c r="W28" s="65">
        <v>9.5</v>
      </c>
      <c r="X28" s="34" t="s">
        <v>38</v>
      </c>
      <c r="Y28" s="35"/>
      <c r="AA28" s="65">
        <v>9</v>
      </c>
      <c r="AB28" s="34" t="s">
        <v>38</v>
      </c>
      <c r="AC28" s="35"/>
      <c r="AE28" s="65">
        <v>8</v>
      </c>
      <c r="AF28" s="50" t="s">
        <v>38</v>
      </c>
      <c r="AG28" s="51"/>
      <c r="AI28" s="49"/>
      <c r="AK28" s="65">
        <v>8</v>
      </c>
      <c r="AL28" s="50" t="s">
        <v>38</v>
      </c>
      <c r="AM28" s="51"/>
      <c r="AO28" s="65">
        <v>8</v>
      </c>
      <c r="AP28" s="50" t="s">
        <v>38</v>
      </c>
      <c r="AQ28" s="51"/>
      <c r="AS28" s="49"/>
      <c r="AU28" s="65">
        <v>8</v>
      </c>
      <c r="AV28" s="50" t="s">
        <v>38</v>
      </c>
      <c r="AW28" s="51"/>
      <c r="AY28" s="65">
        <v>8</v>
      </c>
      <c r="AZ28" s="50" t="s">
        <v>38</v>
      </c>
      <c r="BA28" s="51"/>
      <c r="BC28" s="49"/>
      <c r="BE28" s="65">
        <v>8</v>
      </c>
      <c r="BF28" s="50" t="s">
        <v>38</v>
      </c>
      <c r="BG28" s="51"/>
    </row>
    <row r="29" spans="1:59" x14ac:dyDescent="0.25">
      <c r="A29" t="s">
        <v>84</v>
      </c>
      <c r="B29" s="16"/>
      <c r="C29" s="32"/>
      <c r="D29" s="34"/>
      <c r="E29" s="35"/>
      <c r="G29" s="32"/>
      <c r="H29" s="34"/>
      <c r="I29" s="35"/>
      <c r="K29" s="32"/>
      <c r="L29" s="34"/>
      <c r="M29" s="35"/>
      <c r="O29" s="32"/>
      <c r="P29" s="34"/>
      <c r="Q29" s="35"/>
      <c r="S29" s="32"/>
      <c r="T29" s="34"/>
      <c r="U29" s="35"/>
      <c r="W29" s="65">
        <v>3.25</v>
      </c>
      <c r="X29" s="34" t="s">
        <v>37</v>
      </c>
      <c r="Y29" s="35"/>
      <c r="AA29" s="65">
        <v>3.25</v>
      </c>
      <c r="AB29" s="34" t="s">
        <v>37</v>
      </c>
      <c r="AC29" s="35"/>
      <c r="AE29" s="65">
        <f>11.35+7.35</f>
        <v>18.7</v>
      </c>
      <c r="AF29" s="50" t="s">
        <v>37</v>
      </c>
      <c r="AG29" s="51"/>
      <c r="AI29" s="49"/>
      <c r="AK29" s="65">
        <f>20+16</f>
        <v>36</v>
      </c>
      <c r="AL29" s="50" t="s">
        <v>37</v>
      </c>
      <c r="AM29" s="51"/>
      <c r="AO29" s="65">
        <v>18.7</v>
      </c>
      <c r="AP29" s="50" t="s">
        <v>37</v>
      </c>
      <c r="AQ29" s="51"/>
      <c r="AS29" s="49"/>
      <c r="AU29" s="65">
        <v>36</v>
      </c>
      <c r="AV29" s="50" t="s">
        <v>37</v>
      </c>
      <c r="AW29" s="51"/>
      <c r="AY29" s="65">
        <v>28</v>
      </c>
      <c r="AZ29" s="50" t="s">
        <v>37</v>
      </c>
      <c r="BA29" s="51"/>
      <c r="BC29" s="49"/>
      <c r="BE29" s="65">
        <v>28</v>
      </c>
      <c r="BF29" s="50" t="s">
        <v>37</v>
      </c>
      <c r="BG29" s="51"/>
    </row>
    <row r="30" spans="1:59" x14ac:dyDescent="0.25">
      <c r="B30" s="4"/>
      <c r="C30" s="4"/>
      <c r="D30" s="5"/>
      <c r="E30" s="7"/>
      <c r="G30" s="4"/>
      <c r="H30" s="5"/>
      <c r="I30" s="7"/>
      <c r="K30" s="4"/>
      <c r="L30" s="5"/>
      <c r="M30" s="7"/>
      <c r="O30" s="4"/>
      <c r="P30" s="5"/>
      <c r="Q30" s="7"/>
      <c r="S30" s="4"/>
      <c r="T30" s="5"/>
      <c r="U30" s="7"/>
      <c r="W30" s="4"/>
      <c r="X30" s="5"/>
      <c r="Y30" s="7"/>
      <c r="AA30" s="4"/>
      <c r="AB30" s="5"/>
      <c r="AC30" s="7"/>
      <c r="AE30" s="16"/>
      <c r="AF30" s="43"/>
      <c r="AG30" s="6"/>
      <c r="AI30" s="119"/>
      <c r="AJ30" s="118"/>
      <c r="AK30" s="16"/>
      <c r="AL30" s="43"/>
      <c r="AM30" s="6"/>
      <c r="AO30" s="16"/>
      <c r="AP30" s="43"/>
      <c r="AQ30" s="6"/>
      <c r="AS30" s="119"/>
      <c r="AU30" s="16"/>
      <c r="AV30" s="43"/>
      <c r="AW30" s="6"/>
      <c r="AY30" s="16"/>
      <c r="AZ30" s="43"/>
      <c r="BA30" s="6"/>
      <c r="BC30" s="119"/>
      <c r="BE30" s="16"/>
      <c r="BF30" s="43"/>
      <c r="BG30" s="6"/>
    </row>
    <row r="31" spans="1:59" ht="17.25" x14ac:dyDescent="0.4">
      <c r="A31" t="s">
        <v>85</v>
      </c>
      <c r="B31" s="16" t="s">
        <v>11</v>
      </c>
      <c r="C31" s="4"/>
      <c r="D31" s="5"/>
      <c r="E31" s="7"/>
      <c r="G31" s="4"/>
      <c r="H31" s="5"/>
      <c r="I31" s="7"/>
      <c r="K31" s="4"/>
      <c r="L31" s="5"/>
      <c r="M31" s="7"/>
      <c r="O31" s="4"/>
      <c r="P31" s="5"/>
      <c r="Q31" s="7"/>
      <c r="S31" s="4"/>
      <c r="T31" s="5"/>
      <c r="U31" s="7"/>
      <c r="W31" s="4">
        <f>Gegevens!Y3</f>
        <v>7.63</v>
      </c>
      <c r="X31" s="5"/>
      <c r="Y31" s="7"/>
      <c r="AA31" s="4">
        <f>Gegevens!AC3</f>
        <v>7.63</v>
      </c>
      <c r="AB31" s="5"/>
      <c r="AC31" s="7"/>
      <c r="AE31" s="171">
        <f>Gegevens!AG5</f>
        <v>15.273972602739725</v>
      </c>
      <c r="AF31" s="52"/>
      <c r="AG31" s="6"/>
      <c r="AI31" s="166">
        <f>AI33*(2-AI27)</f>
        <v>207.41350978288654</v>
      </c>
      <c r="AJ31" s="117"/>
      <c r="AK31" s="171">
        <f>Gegevens!AM8</f>
        <v>15.273972602739725</v>
      </c>
      <c r="AL31" s="52"/>
      <c r="AM31" s="6"/>
      <c r="AO31" s="171">
        <f>Gegevens!AQ5</f>
        <v>15.273972602739725</v>
      </c>
      <c r="AP31" s="52"/>
      <c r="AQ31" s="6"/>
      <c r="AS31" s="166">
        <f>AS33*(2-AS27)</f>
        <v>231.57819053429077</v>
      </c>
      <c r="AU31" s="171">
        <f>Gegevens!AW8</f>
        <v>15.273972602739725</v>
      </c>
      <c r="AV31" s="52"/>
      <c r="AW31" s="6"/>
      <c r="AY31" s="171">
        <f>Gegevens!BA5</f>
        <v>16.741682974559687</v>
      </c>
      <c r="AZ31" s="52"/>
      <c r="BA31" s="6"/>
      <c r="BC31" s="166">
        <f>BC33*(2-BC27)</f>
        <v>272.90403108981178</v>
      </c>
      <c r="BE31" s="171">
        <f>Gegevens!BG8</f>
        <v>16.741682974559687</v>
      </c>
      <c r="BF31" s="52"/>
      <c r="BG31" s="6"/>
    </row>
    <row r="32" spans="1:59" ht="15.75" thickBot="1" x14ac:dyDescent="0.3">
      <c r="B32" s="4"/>
      <c r="C32" s="21"/>
      <c r="D32" s="22"/>
      <c r="E32" s="23"/>
      <c r="G32" s="21"/>
      <c r="H32" s="22"/>
      <c r="I32" s="23"/>
      <c r="K32" s="21"/>
      <c r="L32" s="22"/>
      <c r="M32" s="23"/>
      <c r="O32" s="21"/>
      <c r="P32" s="22"/>
      <c r="Q32" s="23"/>
      <c r="S32" s="21"/>
      <c r="T32" s="22"/>
      <c r="U32" s="23"/>
      <c r="W32" s="21"/>
      <c r="X32" s="22"/>
      <c r="Y32" s="23"/>
      <c r="AA32" s="21"/>
      <c r="AB32" s="22"/>
      <c r="AC32" s="23"/>
      <c r="AE32" s="171">
        <f>Gegevens!AG8</f>
        <v>25.130982038357285</v>
      </c>
      <c r="AF32" s="54"/>
      <c r="AG32" s="55"/>
      <c r="AI32" s="96"/>
      <c r="AJ32" s="96"/>
      <c r="AK32" s="53"/>
      <c r="AL32" s="54"/>
      <c r="AM32" s="55"/>
      <c r="AO32" s="171">
        <f>Gegevens!AQ8</f>
        <v>25.130982038357285</v>
      </c>
      <c r="AP32" s="54"/>
      <c r="AQ32" s="55"/>
      <c r="AS32" s="96"/>
      <c r="AU32" s="53"/>
      <c r="AV32" s="54"/>
      <c r="AW32" s="55"/>
      <c r="AY32" s="171">
        <f>Gegevens!BA8</f>
        <v>25.130982038357285</v>
      </c>
      <c r="AZ32" s="54"/>
      <c r="BA32" s="55"/>
      <c r="BC32" s="96"/>
      <c r="BE32" s="53"/>
      <c r="BF32" s="54"/>
      <c r="BG32" s="55"/>
    </row>
    <row r="33" spans="2:64" x14ac:dyDescent="0.25">
      <c r="B33" s="17" t="s">
        <v>27</v>
      </c>
      <c r="C33" s="8">
        <f>SUM(C25:E25)</f>
        <v>92.994884582617289</v>
      </c>
      <c r="D33" s="163">
        <f>(ROUND((C33/60),2))*60</f>
        <v>93</v>
      </c>
      <c r="E33" s="164">
        <f>D33/60</f>
        <v>1.55</v>
      </c>
      <c r="G33" s="8">
        <f>SUM(G25:I25)</f>
        <v>118.03751004728217</v>
      </c>
      <c r="H33" s="163">
        <f>(ROUND((G33/60),2))*60</f>
        <v>118.2</v>
      </c>
      <c r="I33" s="164">
        <f>H33/60</f>
        <v>1.97</v>
      </c>
      <c r="K33" s="8">
        <f>SUM(K25:M25)</f>
        <v>108.84337337457629</v>
      </c>
      <c r="L33" s="163">
        <f>(ROUND((K33/60),2))*60</f>
        <v>108.60000000000001</v>
      </c>
      <c r="M33" s="164">
        <f>L33/60</f>
        <v>1.81</v>
      </c>
      <c r="O33" s="8">
        <f>SUM(O25:Q25)</f>
        <v>108.84337337457629</v>
      </c>
      <c r="P33" s="163">
        <f>(ROUND((O33/60),2))*60</f>
        <v>108.60000000000001</v>
      </c>
      <c r="Q33" s="164">
        <f>P33/60</f>
        <v>1.81</v>
      </c>
      <c r="S33" s="8">
        <f>SUM(S25:U25)</f>
        <v>121.4073356210214</v>
      </c>
      <c r="T33" s="163">
        <f>(ROUND((S33/60),2))*60</f>
        <v>121.2</v>
      </c>
      <c r="U33" s="164">
        <f>T33/60</f>
        <v>2.02</v>
      </c>
      <c r="W33" s="165">
        <f>SUM(W25:Y25)/W28*W29+W31</f>
        <v>70.878537624111686</v>
      </c>
      <c r="X33" s="9"/>
      <c r="Y33" s="10"/>
      <c r="AA33" s="165">
        <f>SUM(AA25:AC25)/AA28*AA29+AA31</f>
        <v>81.902455095893202</v>
      </c>
      <c r="AB33" s="9"/>
      <c r="AC33" s="10"/>
      <c r="AE33" s="56">
        <f>(SUM(AE25:AG25)*AE29/AE28)+(AE31+AE32)</f>
        <v>174.11186397428122</v>
      </c>
      <c r="AF33" s="57"/>
      <c r="AG33" s="58"/>
      <c r="AI33" s="116">
        <f>((AE33*5)+(AK33*2))/7</f>
        <v>201.37233959503547</v>
      </c>
      <c r="AJ33" s="116"/>
      <c r="AK33" s="56">
        <f>(SUM(AK25:AM25)*AK29/AK28)+(AK31+AK32)</f>
        <v>269.52352864692102</v>
      </c>
      <c r="AL33" s="57"/>
      <c r="AM33" s="58"/>
      <c r="AO33" s="56">
        <f>(SUM(AO25:AQ25)*AO29/AO28)+(AO31+AO32)</f>
        <v>174.11186397428122</v>
      </c>
      <c r="AP33" s="57"/>
      <c r="AQ33" s="58"/>
      <c r="AS33" s="116">
        <f>((AO33*5)+(AU33*2))/7</f>
        <v>201.37233959503547</v>
      </c>
      <c r="AU33" s="56">
        <f>(SUM(AU25:AW25)*AU29/AU28)+(AU31+AU32)</f>
        <v>269.52352864692102</v>
      </c>
      <c r="AV33" s="57"/>
      <c r="AW33" s="58"/>
      <c r="AY33" s="56">
        <f>(SUM(AY25:BA25)*AY29/AY28)+(AY31+AY32)</f>
        <v>261.08302726563647</v>
      </c>
      <c r="AZ33" s="57"/>
      <c r="BA33" s="58"/>
      <c r="BC33" s="116">
        <f>((AY33*5)+(BE33*2))/7</f>
        <v>264.95536999010852</v>
      </c>
      <c r="BE33" s="56">
        <f>(SUM(BE25:BG25)*BE29/BE28)+(BE31+BE32)</f>
        <v>274.63622680128856</v>
      </c>
      <c r="BF33" s="57"/>
      <c r="BG33" s="58"/>
    </row>
    <row r="34" spans="2:64" hidden="1" x14ac:dyDescent="0.25">
      <c r="B34" s="15" t="s">
        <v>28</v>
      </c>
      <c r="C34" s="11">
        <f>SUM(C26:E26)</f>
        <v>54.290804554855072</v>
      </c>
      <c r="D34" s="12"/>
      <c r="E34" s="13"/>
      <c r="G34" s="11">
        <f>SUM(G26:I26)</f>
        <v>67.242104868437877</v>
      </c>
      <c r="H34" s="12"/>
      <c r="I34" s="13"/>
      <c r="K34" s="11">
        <f>SUM(K26:M26)</f>
        <v>81.32555792628105</v>
      </c>
      <c r="L34" s="12"/>
      <c r="M34" s="13"/>
      <c r="O34" s="11">
        <f>SUM(O26:Q26)</f>
        <v>81.32555792628105</v>
      </c>
      <c r="P34" s="12"/>
      <c r="Q34" s="13"/>
      <c r="S34" s="11">
        <f>SUM(S26:U26)</f>
        <v>67.469326828586617</v>
      </c>
      <c r="T34" s="12"/>
      <c r="U34" s="13"/>
      <c r="W34" s="59">
        <f>SUM(W26:Y26)/W28*W29</f>
        <v>40.950824483140273</v>
      </c>
      <c r="X34" s="12"/>
      <c r="Y34" s="13"/>
      <c r="AA34" s="59">
        <f>SUM(AA26:AC26)/AA28*AA29</f>
        <v>49.58545868636871</v>
      </c>
      <c r="AB34" s="12"/>
      <c r="AC34" s="13"/>
      <c r="AE34" s="59">
        <f>SUM(((AE26:AG26)/AE28)*AE29)+AE31</f>
        <v>97.820080040822205</v>
      </c>
      <c r="AF34" s="60"/>
      <c r="AG34" s="61"/>
      <c r="AI34" s="97"/>
      <c r="AK34" s="59">
        <f>SUM(((AK26:AM26)/AK28)*AK29)+AK31</f>
        <v>160.87369168948206</v>
      </c>
      <c r="AL34" s="60"/>
      <c r="AM34" s="61"/>
      <c r="AO34" s="59">
        <f>SUM(((AO26:AQ26)/AO28)*AO29)+AO31</f>
        <v>97.820080040822205</v>
      </c>
      <c r="AP34" s="60"/>
      <c r="AQ34" s="61"/>
      <c r="AS34" s="97"/>
      <c r="AU34" s="59">
        <f>SUM(((AU26:AW26)/AU28)*AU29)+AU31</f>
        <v>160.87369168948206</v>
      </c>
      <c r="AV34" s="60"/>
      <c r="AW34" s="61"/>
      <c r="AY34" s="59">
        <f>SUM(((AY26:BA26)/AY28)*AY29)+AY31</f>
        <v>220.56498383193039</v>
      </c>
      <c r="AZ34" s="60"/>
      <c r="BA34" s="61"/>
      <c r="BC34" s="97"/>
      <c r="BE34" s="59">
        <f>SUM(((BE26:BG26)/BE28)*BE29)+BE31</f>
        <v>220.56498383193039</v>
      </c>
      <c r="BF34" s="60"/>
      <c r="BG34" s="61"/>
    </row>
    <row r="35" spans="2:64" ht="15.75" thickBot="1" x14ac:dyDescent="0.3">
      <c r="B35" s="18"/>
      <c r="C35" s="18"/>
      <c r="D35" s="19"/>
      <c r="E35" s="20"/>
      <c r="G35" s="18"/>
      <c r="H35" s="19"/>
      <c r="I35" s="20"/>
      <c r="K35" s="18"/>
      <c r="L35" s="19"/>
      <c r="M35" s="20"/>
      <c r="O35" s="18"/>
      <c r="P35" s="19"/>
      <c r="Q35" s="20"/>
      <c r="S35" s="18"/>
      <c r="T35" s="19"/>
      <c r="U35" s="20"/>
      <c r="W35" s="18"/>
      <c r="X35" s="19"/>
      <c r="Y35" s="20"/>
      <c r="AA35" s="18"/>
      <c r="AB35" s="19"/>
      <c r="AC35" s="20"/>
      <c r="AE35" s="62"/>
      <c r="AF35" s="63"/>
      <c r="AG35" s="64"/>
      <c r="AI35" s="98"/>
      <c r="AK35" s="62"/>
      <c r="AL35" s="63"/>
      <c r="AM35" s="64"/>
      <c r="AO35" s="62"/>
      <c r="AP35" s="63"/>
      <c r="AQ35" s="64"/>
      <c r="AS35" s="98"/>
      <c r="AU35" s="62"/>
      <c r="AV35" s="63"/>
      <c r="AW35" s="64"/>
      <c r="AY35" s="62"/>
      <c r="AZ35" s="63"/>
      <c r="BA35" s="64"/>
      <c r="BC35" s="98"/>
      <c r="BE35" s="62"/>
      <c r="BF35" s="63"/>
      <c r="BG35" s="64"/>
    </row>
    <row r="36" spans="2:64" ht="15.75" hidden="1" thickBot="1" x14ac:dyDescent="0.3">
      <c r="B36" s="15" t="s">
        <v>59</v>
      </c>
      <c r="C36" s="128">
        <v>102.78847308003272</v>
      </c>
      <c r="D36" s="5"/>
      <c r="E36" s="7"/>
      <c r="G36" s="130">
        <v>114.39661236889003</v>
      </c>
      <c r="H36" s="5"/>
      <c r="I36" s="7"/>
      <c r="K36" s="130">
        <v>114.39661236889003</v>
      </c>
      <c r="L36" s="5"/>
      <c r="M36" s="7"/>
      <c r="O36" s="130">
        <v>114.39661236889003</v>
      </c>
      <c r="P36" s="5"/>
      <c r="Q36" s="7"/>
      <c r="S36" s="130">
        <v>113.74151052218232</v>
      </c>
      <c r="T36" s="5"/>
      <c r="U36" s="7"/>
      <c r="W36" s="130">
        <v>113.74151052218232</v>
      </c>
      <c r="X36" s="5"/>
      <c r="Y36" s="7"/>
      <c r="AA36" s="130">
        <v>111.95332915577087</v>
      </c>
      <c r="AB36" s="5"/>
      <c r="AC36" s="7"/>
      <c r="AE36" s="106">
        <v>77.146184565384189</v>
      </c>
      <c r="AF36" s="5"/>
      <c r="AG36" s="7"/>
      <c r="AI36" s="132">
        <v>89.731001864121822</v>
      </c>
      <c r="AJ36" s="5"/>
      <c r="AK36" s="7"/>
      <c r="AM36" s="115"/>
      <c r="AO36" s="115"/>
      <c r="AS36" s="38"/>
      <c r="AW36" s="115"/>
      <c r="AY36" s="115"/>
      <c r="AZ36" s="36"/>
      <c r="BA36" s="93"/>
      <c r="BC36" s="38"/>
      <c r="BG36" s="115"/>
      <c r="BH36" s="115"/>
      <c r="BI36" s="36"/>
      <c r="BJ36" s="93"/>
      <c r="BL36" s="38"/>
    </row>
    <row r="37" spans="2:64" ht="15.75" hidden="1" thickBot="1" x14ac:dyDescent="0.3">
      <c r="B37" s="15" t="s">
        <v>60</v>
      </c>
      <c r="C37" s="128">
        <v>85.550156119213653</v>
      </c>
      <c r="D37" s="5"/>
      <c r="E37" s="7"/>
      <c r="G37" s="130">
        <v>94.846255362835564</v>
      </c>
      <c r="H37" s="5"/>
      <c r="I37" s="7"/>
      <c r="K37" s="130">
        <v>94.846255362835564</v>
      </c>
      <c r="L37" s="5"/>
      <c r="M37" s="7"/>
      <c r="O37" s="130">
        <v>94.846255362835564</v>
      </c>
      <c r="P37" s="5"/>
      <c r="Q37" s="7"/>
      <c r="S37" s="130">
        <v>113.52744452970839</v>
      </c>
      <c r="T37" s="5"/>
      <c r="U37" s="7"/>
      <c r="W37" s="130">
        <v>113.52744452970839</v>
      </c>
      <c r="X37" s="5"/>
      <c r="Y37" s="7"/>
      <c r="AA37" s="130">
        <v>111.920686851339</v>
      </c>
      <c r="AB37" s="5"/>
      <c r="AC37" s="7"/>
      <c r="AE37" s="106">
        <v>67.934560294561322</v>
      </c>
      <c r="AF37" s="5"/>
      <c r="AG37" s="7"/>
      <c r="AI37" s="132">
        <v>78.163013731584357</v>
      </c>
      <c r="AJ37" s="5"/>
      <c r="AK37" s="7"/>
      <c r="AM37" s="115"/>
      <c r="AO37" s="115"/>
      <c r="AS37" s="38"/>
      <c r="AW37" s="115"/>
      <c r="AY37" s="115"/>
      <c r="AZ37" s="36"/>
      <c r="BA37" s="93"/>
      <c r="BC37" s="38"/>
      <c r="BG37" s="115"/>
      <c r="BH37" s="115"/>
      <c r="BI37" s="36"/>
      <c r="BJ37" s="93"/>
      <c r="BL37" s="38"/>
    </row>
    <row r="38" spans="2:64" ht="15.75" hidden="1" thickBot="1" x14ac:dyDescent="0.3">
      <c r="B38" s="62" t="s">
        <v>61</v>
      </c>
      <c r="C38" s="128">
        <v>97.042367426426352</v>
      </c>
      <c r="D38" s="34" t="e">
        <f>C38-#REF!</f>
        <v>#REF!</v>
      </c>
      <c r="E38" s="151" t="e">
        <f>D38/#REF!</f>
        <v>#REF!</v>
      </c>
      <c r="F38" s="38"/>
      <c r="G38" s="130">
        <v>107.87982670020521</v>
      </c>
      <c r="H38" s="124" t="e">
        <f>G38-#REF!</f>
        <v>#REF!</v>
      </c>
      <c r="I38" s="129" t="e">
        <f>H38/#REF!</f>
        <v>#REF!</v>
      </c>
      <c r="J38" s="93"/>
      <c r="K38" s="131">
        <v>107.87982670020521</v>
      </c>
      <c r="L38" s="124" t="e">
        <f>K38-#REF!</f>
        <v>#REF!</v>
      </c>
      <c r="M38" s="129" t="e">
        <f>L38/#REF!</f>
        <v>#REF!</v>
      </c>
      <c r="N38" s="93"/>
      <c r="O38" s="131">
        <v>107.87982670020521</v>
      </c>
      <c r="P38" s="124" t="e">
        <f>O38-#REF!</f>
        <v>#REF!</v>
      </c>
      <c r="Q38" s="129" t="e">
        <f>P38/#REF!</f>
        <v>#REF!</v>
      </c>
      <c r="R38" s="93"/>
      <c r="S38" s="131">
        <v>113.67015519135768</v>
      </c>
      <c r="T38" s="124" t="e">
        <f>S38-#REF!</f>
        <v>#REF!</v>
      </c>
      <c r="U38" s="129" t="e">
        <f>T38/#REF!</f>
        <v>#REF!</v>
      </c>
      <c r="V38" s="91"/>
      <c r="W38" s="131">
        <v>113.67015519135768</v>
      </c>
      <c r="X38" s="124" t="e">
        <f>W38-#REF!</f>
        <v>#REF!</v>
      </c>
      <c r="Y38" s="129" t="e">
        <f>X38/#REF!</f>
        <v>#REF!</v>
      </c>
      <c r="AA38" s="131">
        <v>111.94244838762691</v>
      </c>
      <c r="AB38" s="124">
        <f>AA38-S33</f>
        <v>-9.4648872333944922</v>
      </c>
      <c r="AC38" s="129" t="e">
        <f>AB38/#REF!</f>
        <v>#REF!</v>
      </c>
      <c r="AE38" s="135">
        <v>74.075643141776567</v>
      </c>
      <c r="AF38" s="22"/>
      <c r="AG38" s="23"/>
      <c r="AI38" s="133">
        <v>85.875005819942658</v>
      </c>
      <c r="AJ38" s="124"/>
      <c r="AK38" s="134"/>
      <c r="AM38" s="115"/>
      <c r="AO38" s="115"/>
      <c r="AW38" s="115"/>
      <c r="AY38" s="115"/>
      <c r="AZ38" s="36"/>
      <c r="BA38" s="93"/>
      <c r="BG38" s="115"/>
      <c r="BH38" s="115"/>
      <c r="BI38" s="36"/>
      <c r="BJ38" s="93"/>
    </row>
    <row r="76" spans="1:20" x14ac:dyDescent="0.25">
      <c r="A76" s="4"/>
      <c r="B76" s="5"/>
      <c r="C76" s="5"/>
      <c r="D76" s="5"/>
      <c r="E76" s="5"/>
      <c r="F76" s="5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6"/>
    </row>
    <row r="77" spans="1:20" x14ac:dyDescent="0.25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7"/>
    </row>
    <row r="78" spans="1:20" x14ac:dyDescent="0.25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7"/>
    </row>
    <row r="79" spans="1:20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7"/>
    </row>
    <row r="80" spans="1:20" x14ac:dyDescent="0.25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7"/>
    </row>
    <row r="81" spans="1:20" x14ac:dyDescent="0.25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7"/>
    </row>
    <row r="82" spans="1:20" x14ac:dyDescent="0.25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7"/>
    </row>
    <row r="83" spans="1:20" ht="15.75" thickBot="1" x14ac:dyDescent="0.3">
      <c r="A83" s="21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3"/>
    </row>
  </sheetData>
  <mergeCells count="14">
    <mergeCell ref="BE2:BG2"/>
    <mergeCell ref="AO2:AQ2"/>
    <mergeCell ref="AU2:AW2"/>
    <mergeCell ref="AK2:AM2"/>
    <mergeCell ref="A2:A4"/>
    <mergeCell ref="G2:I2"/>
    <mergeCell ref="C2:E2"/>
    <mergeCell ref="AY2:BA2"/>
    <mergeCell ref="AE2:AG2"/>
    <mergeCell ref="K2:M2"/>
    <mergeCell ref="O2:Q2"/>
    <mergeCell ref="S2:U2"/>
    <mergeCell ref="W2:Y2"/>
    <mergeCell ref="AA2:AC2"/>
  </mergeCells>
  <phoneticPr fontId="8" type="noConversion"/>
  <pageMargins left="0.7" right="0.7" top="0.75" bottom="0.75" header="0.3" footer="0.3"/>
  <pageSetup paperSize="9" scale="85" fitToWidth="0" orientation="landscape" r:id="rId1"/>
  <colBreaks count="4" manualBreakCount="4">
    <brk id="25" max="1048575" man="1"/>
    <brk id="37" max="1048575" man="1"/>
    <brk id="43" max="1048575" man="1"/>
    <brk id="6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8"/>
  <sheetViews>
    <sheetView topLeftCell="T1" workbookViewId="0">
      <selection activeCell="AG8" sqref="AG8"/>
    </sheetView>
  </sheetViews>
  <sheetFormatPr defaultRowHeight="15" x14ac:dyDescent="0.25"/>
  <cols>
    <col min="1" max="1" width="11.42578125" bestFit="1" customWidth="1"/>
    <col min="2" max="2" width="17.28515625" customWidth="1"/>
    <col min="3" max="3" width="16.28515625" bestFit="1" customWidth="1"/>
    <col min="4" max="5" width="8.85546875" bestFit="1" customWidth="1"/>
    <col min="7" max="7" width="16.28515625" bestFit="1" customWidth="1"/>
    <col min="8" max="8" width="21.5703125" bestFit="1" customWidth="1"/>
    <col min="19" max="19" width="25" customWidth="1"/>
    <col min="20" max="20" width="21.5703125" bestFit="1" customWidth="1"/>
    <col min="31" max="31" width="44.85546875" bestFit="1" customWidth="1"/>
    <col min="45" max="45" width="12.42578125" customWidth="1"/>
    <col min="47" max="47" width="16.28515625" bestFit="1" customWidth="1"/>
    <col min="48" max="48" width="10.140625" bestFit="1" customWidth="1"/>
    <col min="51" max="51" width="26.42578125" customWidth="1"/>
    <col min="55" max="55" width="12.5703125" customWidth="1"/>
    <col min="57" max="57" width="16.28515625" bestFit="1" customWidth="1"/>
  </cols>
  <sheetData>
    <row r="1" spans="1:62" s="104" customFormat="1" ht="45.75" customHeight="1" thickBot="1" x14ac:dyDescent="0.3">
      <c r="A1"/>
      <c r="C1" s="176" t="s">
        <v>69</v>
      </c>
      <c r="D1" s="177"/>
      <c r="E1" s="178"/>
      <c r="G1" s="176" t="s">
        <v>68</v>
      </c>
      <c r="H1" s="177"/>
      <c r="I1" s="178"/>
      <c r="K1" s="176" t="s">
        <v>20</v>
      </c>
      <c r="L1" s="177"/>
      <c r="M1" s="178"/>
      <c r="O1" s="176" t="s">
        <v>21</v>
      </c>
      <c r="P1" s="177"/>
      <c r="Q1" s="178"/>
      <c r="S1" s="176" t="s">
        <v>40</v>
      </c>
      <c r="T1" s="177"/>
      <c r="U1" s="178"/>
      <c r="W1" s="176" t="s">
        <v>23</v>
      </c>
      <c r="X1" s="177"/>
      <c r="Y1" s="178"/>
      <c r="AA1" s="176" t="s">
        <v>41</v>
      </c>
      <c r="AB1" s="177"/>
      <c r="AC1" s="178"/>
      <c r="AE1" s="176" t="s">
        <v>44</v>
      </c>
      <c r="AF1" s="177"/>
      <c r="AG1" s="178"/>
      <c r="AI1" s="105" t="s">
        <v>47</v>
      </c>
      <c r="AK1" s="176" t="s">
        <v>45</v>
      </c>
      <c r="AL1" s="177"/>
      <c r="AM1" s="178"/>
      <c r="AO1" s="176" t="s">
        <v>49</v>
      </c>
      <c r="AP1" s="177"/>
      <c r="AQ1" s="178"/>
      <c r="AS1" s="105" t="s">
        <v>48</v>
      </c>
      <c r="AU1" s="176" t="s">
        <v>50</v>
      </c>
      <c r="AV1" s="177"/>
      <c r="AW1" s="178"/>
      <c r="AY1" s="176" t="s">
        <v>58</v>
      </c>
      <c r="AZ1" s="177"/>
      <c r="BA1" s="178"/>
      <c r="BC1" s="105" t="s">
        <v>58</v>
      </c>
      <c r="BE1" s="176" t="s">
        <v>58</v>
      </c>
      <c r="BF1" s="177"/>
      <c r="BG1" s="178"/>
    </row>
    <row r="2" spans="1:62" ht="15.75" thickBot="1" x14ac:dyDescent="0.3"/>
    <row r="3" spans="1:62" s="78" customFormat="1" ht="38.25" customHeight="1" x14ac:dyDescent="0.4">
      <c r="A3" s="74"/>
      <c r="B3" s="66"/>
      <c r="C3" s="75"/>
      <c r="D3" s="76"/>
      <c r="E3" s="107"/>
      <c r="G3" s="75"/>
      <c r="H3" s="76"/>
      <c r="I3" s="107"/>
      <c r="K3" s="75"/>
      <c r="L3" s="76"/>
      <c r="M3" s="107"/>
      <c r="O3" s="75"/>
      <c r="P3" s="76"/>
      <c r="Q3" s="112"/>
      <c r="S3" s="168" t="s">
        <v>43</v>
      </c>
      <c r="T3" s="76"/>
      <c r="U3" s="108"/>
      <c r="W3" s="75" t="s">
        <v>51</v>
      </c>
      <c r="X3" s="76"/>
      <c r="Y3" s="77">
        <v>7.63</v>
      </c>
      <c r="AA3" s="75" t="s">
        <v>51</v>
      </c>
      <c r="AB3" s="76"/>
      <c r="AC3" s="107">
        <v>7.63</v>
      </c>
      <c r="AE3" s="75" t="s">
        <v>36</v>
      </c>
      <c r="AF3" s="76"/>
      <c r="AG3" s="114">
        <v>5</v>
      </c>
      <c r="AI3" s="92"/>
      <c r="AK3" s="75" t="s">
        <v>36</v>
      </c>
      <c r="AL3" s="76"/>
      <c r="AM3" s="114">
        <v>5</v>
      </c>
      <c r="AO3" s="75" t="s">
        <v>36</v>
      </c>
      <c r="AP3" s="76"/>
      <c r="AQ3" s="114">
        <v>5</v>
      </c>
      <c r="AS3" s="92"/>
      <c r="AU3" s="75" t="s">
        <v>36</v>
      </c>
      <c r="AV3" s="76"/>
      <c r="AW3" s="114">
        <v>5</v>
      </c>
      <c r="AY3" s="75" t="s">
        <v>36</v>
      </c>
      <c r="AZ3" s="76"/>
      <c r="BA3" s="79">
        <v>5</v>
      </c>
      <c r="BC3" s="92"/>
      <c r="BE3" s="75" t="s">
        <v>36</v>
      </c>
      <c r="BF3" s="76"/>
      <c r="BG3" s="79">
        <v>5</v>
      </c>
    </row>
    <row r="4" spans="1:62" s="78" customFormat="1" ht="105" x14ac:dyDescent="0.25">
      <c r="A4" s="66"/>
      <c r="B4" s="66"/>
      <c r="C4" s="80"/>
      <c r="D4" s="81"/>
      <c r="E4" s="82"/>
      <c r="G4" s="83">
        <f>Gegevens!$G$11</f>
        <v>43329.815999999999</v>
      </c>
      <c r="H4" s="81" t="s">
        <v>26</v>
      </c>
      <c r="I4" s="82"/>
      <c r="K4" s="80"/>
      <c r="L4" s="81"/>
      <c r="M4" s="82"/>
      <c r="O4" s="80"/>
      <c r="P4" s="81"/>
      <c r="Q4" s="82"/>
      <c r="S4" s="83">
        <f>Gegevens!$G$11</f>
        <v>43329.815999999999</v>
      </c>
      <c r="T4" s="81" t="s">
        <v>26</v>
      </c>
      <c r="U4" s="82"/>
      <c r="W4" s="80" t="s">
        <v>25</v>
      </c>
      <c r="X4" s="81"/>
      <c r="Y4" s="82"/>
      <c r="AA4" s="80" t="s">
        <v>25</v>
      </c>
      <c r="AB4" s="81"/>
      <c r="AC4" s="82"/>
      <c r="AE4" s="90" t="s">
        <v>57</v>
      </c>
      <c r="AF4" s="81" t="s">
        <v>62</v>
      </c>
      <c r="AG4" s="84">
        <f>(30000/365)/Berekeningen!AE28</f>
        <v>10.273972602739725</v>
      </c>
      <c r="AI4" s="92"/>
      <c r="AK4" s="90" t="s">
        <v>57</v>
      </c>
      <c r="AL4" s="81" t="s">
        <v>62</v>
      </c>
      <c r="AM4" s="84">
        <f>(30000/365)/Berekeningen!AK28</f>
        <v>10.273972602739725</v>
      </c>
      <c r="AO4" s="90" t="s">
        <v>57</v>
      </c>
      <c r="AP4" s="81" t="s">
        <v>62</v>
      </c>
      <c r="AQ4" s="84">
        <f>(30000/365)/Berekeningen!AO28</f>
        <v>10.273972602739725</v>
      </c>
      <c r="AS4" s="92"/>
      <c r="AU4" s="90" t="s">
        <v>57</v>
      </c>
      <c r="AV4" s="81" t="s">
        <v>62</v>
      </c>
      <c r="AW4" s="84">
        <f>(30000/365)/Berekeningen!AU28</f>
        <v>10.273972602739725</v>
      </c>
      <c r="AY4" s="90" t="s">
        <v>35</v>
      </c>
      <c r="AZ4" s="81"/>
      <c r="BA4" s="84">
        <v>11.741682974559685</v>
      </c>
      <c r="BC4" s="92"/>
      <c r="BE4" s="90" t="s">
        <v>35</v>
      </c>
      <c r="BF4" s="81"/>
      <c r="BG4" s="84">
        <v>11.741682974559685</v>
      </c>
    </row>
    <row r="5" spans="1:62" s="78" customFormat="1" ht="17.25" x14ac:dyDescent="0.4">
      <c r="A5" s="85"/>
      <c r="C5" s="80" t="s">
        <v>55</v>
      </c>
      <c r="D5" s="81" t="s">
        <v>1</v>
      </c>
      <c r="E5" s="110">
        <v>0.66</v>
      </c>
      <c r="G5" s="80" t="s">
        <v>55</v>
      </c>
      <c r="H5" s="81" t="s">
        <v>1</v>
      </c>
      <c r="I5" s="110">
        <f>Berekeningen!G19/Berekeningen!G18</f>
        <v>0.62015503875968991</v>
      </c>
      <c r="K5" s="80"/>
      <c r="L5" s="81"/>
      <c r="M5" s="82"/>
      <c r="O5" s="80"/>
      <c r="P5" s="81"/>
      <c r="Q5" s="82"/>
      <c r="S5" s="83" t="s">
        <v>56</v>
      </c>
      <c r="T5" s="81"/>
      <c r="U5" s="82"/>
      <c r="W5" s="80"/>
      <c r="X5" s="81"/>
      <c r="Y5" s="82"/>
      <c r="AA5" s="80"/>
      <c r="AB5" s="81"/>
      <c r="AC5" s="82"/>
      <c r="AE5" s="80" t="s">
        <v>22</v>
      </c>
      <c r="AF5" s="81"/>
      <c r="AG5" s="84">
        <f>SUM(AG3:AG4)</f>
        <v>15.273972602739725</v>
      </c>
      <c r="AI5" s="92"/>
      <c r="AK5" s="80"/>
      <c r="AL5" s="81"/>
      <c r="AM5" s="84"/>
      <c r="AO5" s="80" t="s">
        <v>22</v>
      </c>
      <c r="AP5" s="81"/>
      <c r="AQ5" s="84">
        <f>SUM(AQ3:AQ4)</f>
        <v>15.273972602739725</v>
      </c>
      <c r="AS5" s="92"/>
      <c r="AU5" s="80"/>
      <c r="AV5" s="81"/>
      <c r="AW5" s="84"/>
      <c r="AY5" s="80" t="s">
        <v>22</v>
      </c>
      <c r="AZ5" s="81"/>
      <c r="BA5" s="84">
        <f>SUM(BA3:BA4)</f>
        <v>16.741682974559687</v>
      </c>
      <c r="BC5" s="92"/>
      <c r="BE5" s="80"/>
      <c r="BF5" s="81"/>
      <c r="BG5" s="84"/>
    </row>
    <row r="6" spans="1:62" s="78" customFormat="1" ht="17.25" x14ac:dyDescent="0.4">
      <c r="A6" s="85"/>
      <c r="C6" s="80" t="s">
        <v>70</v>
      </c>
      <c r="D6" s="143">
        <v>0.25</v>
      </c>
      <c r="E6" s="110"/>
      <c r="G6" s="80" t="s">
        <v>70</v>
      </c>
      <c r="H6" s="143">
        <v>1</v>
      </c>
      <c r="I6" s="110"/>
      <c r="K6" s="80" t="s">
        <v>70</v>
      </c>
      <c r="L6" s="143">
        <v>0.5</v>
      </c>
      <c r="M6" s="82"/>
      <c r="O6" s="80" t="s">
        <v>70</v>
      </c>
      <c r="P6" s="143">
        <v>0.5</v>
      </c>
      <c r="Q6" s="82"/>
      <c r="S6" s="80" t="s">
        <v>70</v>
      </c>
      <c r="T6" s="143">
        <v>0.5</v>
      </c>
      <c r="U6" s="82"/>
      <c r="W6" s="80" t="s">
        <v>70</v>
      </c>
      <c r="X6" s="143">
        <v>1</v>
      </c>
      <c r="Y6" s="82"/>
      <c r="AA6" s="80" t="s">
        <v>70</v>
      </c>
      <c r="AB6" s="143">
        <v>1</v>
      </c>
      <c r="AC6" s="82"/>
      <c r="AE6" s="80" t="s">
        <v>70</v>
      </c>
      <c r="AF6" s="143">
        <v>0.75</v>
      </c>
      <c r="AG6" s="84"/>
      <c r="AI6" s="92"/>
      <c r="AK6" s="80" t="s">
        <v>70</v>
      </c>
      <c r="AL6" s="143">
        <f>AF6</f>
        <v>0.75</v>
      </c>
      <c r="AM6" s="84"/>
      <c r="AO6" s="80" t="s">
        <v>70</v>
      </c>
      <c r="AP6" s="143">
        <v>0.75</v>
      </c>
      <c r="AQ6" s="84"/>
      <c r="AS6" s="92"/>
      <c r="AU6" s="80" t="s">
        <v>70</v>
      </c>
      <c r="AV6" s="143">
        <v>0.75</v>
      </c>
      <c r="AW6" s="84"/>
      <c r="AY6" s="80" t="s">
        <v>70</v>
      </c>
      <c r="AZ6" s="143">
        <v>0.75</v>
      </c>
      <c r="BA6" s="84"/>
      <c r="BC6" s="92"/>
      <c r="BE6" s="80" t="s">
        <v>70</v>
      </c>
      <c r="BF6" s="143">
        <v>0.75</v>
      </c>
      <c r="BG6" s="84"/>
    </row>
    <row r="7" spans="1:62" s="78" customFormat="1" ht="17.25" x14ac:dyDescent="0.4">
      <c r="A7" s="85"/>
      <c r="C7" s="80" t="s">
        <v>71</v>
      </c>
      <c r="D7" s="143">
        <v>0.75</v>
      </c>
      <c r="E7" s="110"/>
      <c r="G7" s="80" t="s">
        <v>71</v>
      </c>
      <c r="H7" s="143">
        <v>0</v>
      </c>
      <c r="I7" s="110"/>
      <c r="K7" s="80" t="s">
        <v>71</v>
      </c>
      <c r="L7" s="143">
        <v>0.5</v>
      </c>
      <c r="M7" s="82"/>
      <c r="O7" s="80" t="s">
        <v>71</v>
      </c>
      <c r="P7" s="143">
        <v>0.5</v>
      </c>
      <c r="Q7" s="82"/>
      <c r="S7" s="80" t="s">
        <v>71</v>
      </c>
      <c r="T7" s="143">
        <v>0.5</v>
      </c>
      <c r="U7" s="82"/>
      <c r="W7" s="80" t="s">
        <v>71</v>
      </c>
      <c r="X7" s="143">
        <v>0</v>
      </c>
      <c r="Y7" s="82"/>
      <c r="AA7" s="80" t="s">
        <v>71</v>
      </c>
      <c r="AB7" s="143">
        <v>0</v>
      </c>
      <c r="AC7" s="82"/>
      <c r="AE7" s="80" t="s">
        <v>71</v>
      </c>
      <c r="AF7" s="143">
        <v>0.25</v>
      </c>
      <c r="AG7" s="84"/>
      <c r="AI7" s="92"/>
      <c r="AK7" s="80" t="s">
        <v>71</v>
      </c>
      <c r="AL7" s="143">
        <f>AF7</f>
        <v>0.25</v>
      </c>
      <c r="AM7" s="84"/>
      <c r="AO7" s="80" t="s">
        <v>71</v>
      </c>
      <c r="AP7" s="143">
        <v>0.25</v>
      </c>
      <c r="AQ7" s="84"/>
      <c r="AS7" s="92"/>
      <c r="AU7" s="80" t="s">
        <v>71</v>
      </c>
      <c r="AV7" s="143">
        <v>0.25</v>
      </c>
      <c r="AW7" s="84"/>
      <c r="AY7" s="80" t="s">
        <v>71</v>
      </c>
      <c r="AZ7" s="143">
        <v>0.25</v>
      </c>
      <c r="BA7" s="84"/>
      <c r="BC7" s="92"/>
      <c r="BE7" s="80" t="s">
        <v>71</v>
      </c>
      <c r="BF7" s="143">
        <v>0.25</v>
      </c>
      <c r="BG7" s="84"/>
    </row>
    <row r="8" spans="1:62" s="78" customFormat="1" ht="33" thickBot="1" x14ac:dyDescent="0.45">
      <c r="A8" s="85"/>
      <c r="C8" s="86"/>
      <c r="D8" s="87" t="s">
        <v>2</v>
      </c>
      <c r="E8" s="111">
        <v>0.25</v>
      </c>
      <c r="G8" s="86"/>
      <c r="H8" s="87" t="s">
        <v>2</v>
      </c>
      <c r="I8" s="111">
        <v>0.25</v>
      </c>
      <c r="K8" s="86"/>
      <c r="L8" s="87"/>
      <c r="M8" s="88"/>
      <c r="O8" s="86"/>
      <c r="P8" s="87"/>
      <c r="Q8" s="88"/>
      <c r="S8" s="86"/>
      <c r="T8" s="87"/>
      <c r="U8" s="88"/>
      <c r="W8" s="86" t="s">
        <v>39</v>
      </c>
      <c r="X8" s="87"/>
      <c r="Y8" s="88"/>
      <c r="AA8" s="86" t="s">
        <v>39</v>
      </c>
      <c r="AB8" s="87"/>
      <c r="AC8" s="88"/>
      <c r="AE8" s="86" t="s">
        <v>46</v>
      </c>
      <c r="AF8" s="87"/>
      <c r="AG8" s="89">
        <f>((Berekeningen!$AA$33*2)/5)-$AC$3</f>
        <v>25.130982038357285</v>
      </c>
      <c r="AI8" s="92"/>
      <c r="AK8" s="86" t="s">
        <v>22</v>
      </c>
      <c r="AL8" s="87"/>
      <c r="AM8" s="89">
        <f>SUM(AM3:AM4)</f>
        <v>15.273972602739725</v>
      </c>
      <c r="AO8" s="86" t="s">
        <v>46</v>
      </c>
      <c r="AP8" s="87"/>
      <c r="AQ8" s="89">
        <f>((Berekeningen!AA33*2)/5)-AC3</f>
        <v>25.130982038357285</v>
      </c>
      <c r="AS8" s="92"/>
      <c r="AU8" s="86" t="s">
        <v>22</v>
      </c>
      <c r="AV8" s="87"/>
      <c r="AW8" s="89">
        <f>SUM(AW3:AW4)</f>
        <v>15.273972602739725</v>
      </c>
      <c r="AY8" s="162" t="s">
        <v>46</v>
      </c>
      <c r="AZ8" s="87"/>
      <c r="BA8" s="89">
        <f>((Berekeningen!$AA$33*2)/5)-$AC$3</f>
        <v>25.130982038357285</v>
      </c>
      <c r="BC8" s="92"/>
      <c r="BE8" s="86" t="s">
        <v>22</v>
      </c>
      <c r="BF8" s="87"/>
      <c r="BG8" s="89">
        <f>SUM(BG3:BG4)</f>
        <v>16.741682974559687</v>
      </c>
    </row>
    <row r="9" spans="1:62" ht="15.75" thickBot="1" x14ac:dyDescent="0.3"/>
    <row r="10" spans="1:62" ht="15.75" thickBot="1" x14ac:dyDescent="0.3">
      <c r="C10" s="152" t="s">
        <v>1</v>
      </c>
      <c r="D10" s="153" t="s">
        <v>2</v>
      </c>
      <c r="E10" s="154" t="s">
        <v>13</v>
      </c>
      <c r="F10" s="153"/>
      <c r="G10" s="155" t="s">
        <v>67</v>
      </c>
      <c r="I10" s="38"/>
      <c r="J10" s="93"/>
      <c r="K10" s="38"/>
      <c r="M10" s="38"/>
      <c r="N10" s="93"/>
      <c r="O10" s="38"/>
      <c r="Q10" s="38"/>
      <c r="R10" s="93"/>
      <c r="S10" s="38"/>
      <c r="T10" s="93"/>
      <c r="U10" s="38"/>
      <c r="W10" s="38"/>
      <c r="X10" s="93"/>
      <c r="AE10" s="115"/>
      <c r="AI10" s="115"/>
      <c r="AM10" s="115"/>
      <c r="AO10" s="115"/>
      <c r="AW10" s="115"/>
      <c r="AX10" s="38"/>
      <c r="AY10" s="115"/>
      <c r="AZ10" s="38"/>
      <c r="BA10" s="93"/>
      <c r="BG10" s="115"/>
      <c r="BH10" s="115"/>
      <c r="BI10" s="38"/>
      <c r="BJ10" s="93"/>
    </row>
    <row r="11" spans="1:62" ht="15.75" thickBot="1" x14ac:dyDescent="0.3">
      <c r="A11" s="148">
        <v>0.5</v>
      </c>
      <c r="B11" s="158" t="s">
        <v>65</v>
      </c>
      <c r="C11" s="145">
        <f>A24</f>
        <v>39589.343999999997</v>
      </c>
      <c r="D11" s="146">
        <f>A38</f>
        <v>49848.803999999996</v>
      </c>
      <c r="E11" s="147">
        <f>A17</f>
        <v>33449.868000000002</v>
      </c>
      <c r="F11" s="159"/>
      <c r="G11" s="147">
        <f>A31</f>
        <v>43329.815999999999</v>
      </c>
      <c r="I11" s="38"/>
      <c r="J11" s="93"/>
      <c r="K11" s="38"/>
      <c r="M11" s="38"/>
      <c r="N11" s="93"/>
      <c r="O11" s="38"/>
      <c r="Q11" s="38"/>
      <c r="R11" s="93"/>
      <c r="S11" s="38"/>
      <c r="T11" s="93"/>
      <c r="U11" s="38"/>
      <c r="W11" s="38"/>
      <c r="X11" s="93"/>
      <c r="AE11" s="115"/>
      <c r="AI11" s="115"/>
      <c r="AM11" s="115"/>
      <c r="AO11" s="115"/>
      <c r="AW11" s="115"/>
      <c r="AX11" s="38"/>
      <c r="AY11" s="115"/>
      <c r="AZ11" s="38"/>
      <c r="BA11" s="93"/>
      <c r="BG11" s="115"/>
      <c r="BH11" s="115"/>
      <c r="BI11" s="38"/>
      <c r="BJ11" s="93"/>
    </row>
    <row r="12" spans="1:62" ht="15.75" thickBot="1" x14ac:dyDescent="0.3">
      <c r="A12" s="149">
        <v>0.5</v>
      </c>
      <c r="B12" s="63" t="s">
        <v>66</v>
      </c>
      <c r="C12" s="156">
        <f>A25</f>
        <v>32464.799999999999</v>
      </c>
      <c r="D12" s="127">
        <f>A39</f>
        <v>55749.599999999999</v>
      </c>
      <c r="E12" s="144">
        <f>A18</f>
        <v>28155.600000000002</v>
      </c>
      <c r="F12" s="157"/>
      <c r="G12" s="144">
        <f>A32</f>
        <v>32464.799999999999</v>
      </c>
      <c r="H12" s="5"/>
      <c r="I12" s="34"/>
      <c r="J12" s="126"/>
      <c r="K12" s="34"/>
      <c r="L12" s="5"/>
      <c r="M12" s="34"/>
      <c r="N12" s="126"/>
      <c r="O12" s="34"/>
      <c r="P12" s="5"/>
      <c r="Q12" s="34"/>
      <c r="R12" s="126"/>
      <c r="S12" s="34"/>
      <c r="T12" s="93"/>
      <c r="U12" s="38"/>
      <c r="W12" s="38"/>
      <c r="X12" s="93"/>
      <c r="AE12" s="115"/>
      <c r="AI12" s="115"/>
      <c r="AM12" s="115"/>
      <c r="AO12" s="115"/>
      <c r="AW12" s="115"/>
      <c r="AX12" s="38"/>
      <c r="AY12" s="115"/>
      <c r="AZ12" s="38"/>
      <c r="BA12" s="93"/>
      <c r="BG12" s="115"/>
      <c r="BH12" s="115"/>
      <c r="BI12" s="38"/>
      <c r="BJ12" s="93"/>
    </row>
    <row r="13" spans="1:62" ht="15.75" thickBot="1" x14ac:dyDescent="0.3">
      <c r="C13" s="38"/>
      <c r="D13" s="38"/>
      <c r="E13" s="38"/>
      <c r="F13" s="22"/>
      <c r="G13" s="124"/>
      <c r="H13" s="22"/>
      <c r="I13" s="124"/>
      <c r="J13" s="125"/>
      <c r="K13" s="124"/>
      <c r="L13" s="22"/>
      <c r="M13" s="124"/>
      <c r="N13" s="125"/>
      <c r="O13" s="124"/>
      <c r="P13" s="22"/>
      <c r="Q13" s="124"/>
      <c r="R13" s="125"/>
      <c r="S13" s="124"/>
      <c r="T13" s="93"/>
      <c r="U13" s="38"/>
      <c r="W13" s="38"/>
      <c r="X13" s="93"/>
      <c r="AE13" s="115"/>
      <c r="AI13" s="115"/>
      <c r="AM13" s="115"/>
      <c r="AO13" s="115"/>
      <c r="AW13" s="115"/>
      <c r="AX13" s="38"/>
      <c r="AY13" s="115"/>
      <c r="AZ13" s="38"/>
      <c r="BA13" s="93"/>
      <c r="BG13" s="115"/>
      <c r="BH13" s="115"/>
      <c r="BI13" s="38"/>
      <c r="BJ13" s="93"/>
    </row>
    <row r="14" spans="1:62" ht="180" x14ac:dyDescent="0.25">
      <c r="A14" s="120" t="s">
        <v>12</v>
      </c>
      <c r="B14" s="160" t="s">
        <v>54</v>
      </c>
      <c r="C14" s="121"/>
      <c r="D14" s="121"/>
      <c r="E14" s="68"/>
      <c r="F14" s="68"/>
      <c r="G14" s="73"/>
      <c r="H14" s="73"/>
      <c r="I14" s="43"/>
      <c r="J14" s="73"/>
      <c r="K14" s="73"/>
      <c r="L14" s="73"/>
      <c r="M14" s="43"/>
      <c r="N14" s="73"/>
      <c r="O14" s="73"/>
      <c r="P14" s="73"/>
      <c r="Q14" s="43"/>
      <c r="R14" s="73"/>
      <c r="S14" s="73"/>
      <c r="T14" s="122"/>
      <c r="AE14" s="115"/>
      <c r="AI14" s="115"/>
      <c r="AM14" s="115"/>
      <c r="AO14" s="115"/>
      <c r="AW14" s="115"/>
      <c r="AX14" s="38"/>
      <c r="AY14" s="115"/>
      <c r="AZ14" s="38"/>
      <c r="BA14" s="93"/>
      <c r="BG14" s="115"/>
      <c r="BH14" s="115"/>
      <c r="BI14" s="38"/>
      <c r="BJ14" s="93"/>
    </row>
    <row r="15" spans="1:62" x14ac:dyDescent="0.25">
      <c r="A15" s="67"/>
      <c r="B15" s="68" t="s">
        <v>0</v>
      </c>
      <c r="C15" s="68"/>
      <c r="D15" s="68"/>
      <c r="E15" s="5"/>
      <c r="F15" s="5"/>
      <c r="G15" s="73"/>
      <c r="H15" s="73"/>
      <c r="I15" s="43"/>
      <c r="J15" s="43"/>
      <c r="K15" s="73"/>
      <c r="L15" s="73"/>
      <c r="M15" s="43"/>
      <c r="N15" s="43"/>
      <c r="O15" s="73"/>
      <c r="P15" s="73"/>
      <c r="Q15" s="43"/>
      <c r="R15" s="43"/>
      <c r="S15" s="43"/>
      <c r="T15" s="6"/>
      <c r="AM15" s="115"/>
      <c r="AO15" s="115"/>
      <c r="AW15" s="115"/>
      <c r="AY15" s="115"/>
      <c r="BA15" s="94"/>
      <c r="BG15" s="115"/>
      <c r="BH15" s="115"/>
      <c r="BJ15" s="94"/>
    </row>
    <row r="16" spans="1:62" x14ac:dyDescent="0.25">
      <c r="A16" s="67"/>
      <c r="B16" s="69" t="s">
        <v>29</v>
      </c>
      <c r="C16" s="68"/>
      <c r="D16" s="68"/>
      <c r="E16" s="5"/>
      <c r="F16" s="5"/>
      <c r="G16" s="5"/>
      <c r="H16" s="123"/>
      <c r="I16" s="5"/>
      <c r="J16" s="5"/>
      <c r="K16" s="5"/>
      <c r="L16" s="123"/>
      <c r="M16" s="5"/>
      <c r="N16" s="5"/>
      <c r="O16" s="5"/>
      <c r="P16" s="123"/>
      <c r="Q16" s="5"/>
      <c r="R16" s="5"/>
      <c r="S16" s="5"/>
      <c r="T16" s="7"/>
    </row>
    <row r="17" spans="1:20" x14ac:dyDescent="0.25">
      <c r="A17" s="70">
        <f>(E17*12)*0.9</f>
        <v>33449.868000000002</v>
      </c>
      <c r="B17" s="69" t="s">
        <v>31</v>
      </c>
      <c r="C17" s="68"/>
      <c r="D17" s="68"/>
      <c r="E17" s="5">
        <v>3097.21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7"/>
    </row>
    <row r="18" spans="1:20" x14ac:dyDescent="0.25">
      <c r="A18" s="70">
        <f>(E18*12)*0.9</f>
        <v>28155.600000000002</v>
      </c>
      <c r="B18" s="69" t="s">
        <v>32</v>
      </c>
      <c r="C18" s="68"/>
      <c r="D18" s="68"/>
      <c r="E18" s="5">
        <v>2607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7"/>
    </row>
    <row r="19" spans="1:20" ht="17.25" x14ac:dyDescent="0.4">
      <c r="A19" s="71">
        <f>SUM(A17:A18)/2</f>
        <v>30802.734000000004</v>
      </c>
      <c r="B19" s="69"/>
      <c r="C19" s="68"/>
      <c r="D19" s="68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7"/>
    </row>
    <row r="20" spans="1:20" ht="17.25" x14ac:dyDescent="0.4">
      <c r="A20" s="71">
        <f>(25%*A17)+(75%*A18)</f>
        <v>29479.167000000001</v>
      </c>
      <c r="B20" s="69"/>
      <c r="C20" s="68"/>
      <c r="D20" s="68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7"/>
    </row>
    <row r="21" spans="1:20" ht="17.25" x14ac:dyDescent="0.4">
      <c r="A21" s="71">
        <f>(75%*A17)+(25%*A18)</f>
        <v>32126.301000000003</v>
      </c>
      <c r="B21" s="69"/>
      <c r="C21" s="68"/>
      <c r="D21" s="68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7"/>
    </row>
    <row r="22" spans="1:20" ht="17.25" x14ac:dyDescent="0.4">
      <c r="A22" s="71">
        <f>(66.67%*A17)+(33.33%*A18)</f>
        <v>31685.288475600006</v>
      </c>
      <c r="B22" s="69"/>
      <c r="C22" s="68"/>
      <c r="D22" s="68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7"/>
    </row>
    <row r="23" spans="1:20" x14ac:dyDescent="0.25">
      <c r="A23" s="67"/>
      <c r="B23" s="69" t="s">
        <v>14</v>
      </c>
      <c r="C23" s="68"/>
      <c r="D23" s="68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7"/>
    </row>
    <row r="24" spans="1:20" x14ac:dyDescent="0.25">
      <c r="A24" s="70">
        <f>(E24*12)*0.9</f>
        <v>39589.343999999997</v>
      </c>
      <c r="B24" s="69" t="s">
        <v>53</v>
      </c>
      <c r="C24" s="68"/>
      <c r="D24" s="68"/>
      <c r="E24" s="5">
        <v>3665.68</v>
      </c>
      <c r="F24" s="5"/>
      <c r="G24" s="5"/>
      <c r="H24" s="5"/>
      <c r="I24" s="43"/>
      <c r="J24" s="43"/>
      <c r="K24" s="5"/>
      <c r="L24" s="5"/>
      <c r="M24" s="43"/>
      <c r="N24" s="43"/>
      <c r="O24" s="5"/>
      <c r="P24" s="5"/>
      <c r="Q24" s="43"/>
      <c r="R24" s="43"/>
      <c r="S24" s="43"/>
      <c r="T24" s="6"/>
    </row>
    <row r="25" spans="1:20" x14ac:dyDescent="0.25">
      <c r="A25" s="70">
        <f>(E25*12)*0.9</f>
        <v>32464.799999999999</v>
      </c>
      <c r="B25" s="69" t="s">
        <v>33</v>
      </c>
      <c r="C25" s="68"/>
      <c r="D25" s="68"/>
      <c r="E25" s="5">
        <v>3006</v>
      </c>
      <c r="F25" s="5"/>
      <c r="G25" s="5"/>
      <c r="H25" s="5"/>
      <c r="I25" s="43"/>
      <c r="J25" s="43"/>
      <c r="K25" s="5"/>
      <c r="L25" s="5"/>
      <c r="M25" s="43"/>
      <c r="N25" s="43"/>
      <c r="O25" s="5"/>
      <c r="P25" s="5"/>
      <c r="Q25" s="43"/>
      <c r="R25" s="43"/>
      <c r="S25" s="43"/>
      <c r="T25" s="6"/>
    </row>
    <row r="26" spans="1:20" ht="17.25" x14ac:dyDescent="0.4">
      <c r="A26" s="71">
        <f>SUM(A24:A25)/2</f>
        <v>36027.072</v>
      </c>
      <c r="B26" s="69"/>
      <c r="C26" s="68"/>
      <c r="D26" s="68"/>
      <c r="E26" s="5"/>
      <c r="F26" s="5"/>
      <c r="G26" s="5"/>
      <c r="H26" s="5"/>
      <c r="I26" s="43"/>
      <c r="J26" s="43"/>
      <c r="K26" s="5"/>
      <c r="L26" s="5"/>
      <c r="M26" s="43"/>
      <c r="N26" s="43"/>
      <c r="O26" s="5"/>
      <c r="P26" s="5"/>
      <c r="Q26" s="43"/>
      <c r="R26" s="43"/>
      <c r="S26" s="43"/>
      <c r="T26" s="6"/>
    </row>
    <row r="27" spans="1:20" ht="17.25" x14ac:dyDescent="0.4">
      <c r="A27" s="71">
        <f>(25%*A24)+(75%*A25)</f>
        <v>34245.936000000002</v>
      </c>
      <c r="B27" s="69"/>
      <c r="C27" s="68"/>
      <c r="D27" s="68"/>
      <c r="E27" s="5"/>
      <c r="F27" s="5"/>
      <c r="G27" s="5"/>
      <c r="H27" s="5"/>
      <c r="I27" s="43"/>
      <c r="J27" s="43"/>
      <c r="K27" s="5"/>
      <c r="L27" s="5"/>
      <c r="M27" s="43"/>
      <c r="N27" s="43"/>
      <c r="O27" s="5"/>
      <c r="P27" s="5"/>
      <c r="Q27" s="43"/>
      <c r="R27" s="43"/>
      <c r="S27" s="43"/>
      <c r="T27" s="6"/>
    </row>
    <row r="28" spans="1:20" ht="17.25" x14ac:dyDescent="0.4">
      <c r="A28" s="71">
        <f>(75%*A24)+(25%*A25)</f>
        <v>37808.207999999999</v>
      </c>
      <c r="B28" s="69"/>
      <c r="C28" s="68"/>
      <c r="D28" s="68"/>
      <c r="E28" s="5"/>
      <c r="F28" s="5"/>
      <c r="G28" s="5"/>
      <c r="H28" s="5"/>
      <c r="I28" s="43"/>
      <c r="J28" s="43"/>
      <c r="K28" s="5"/>
      <c r="L28" s="5"/>
      <c r="M28" s="43"/>
      <c r="N28" s="43"/>
      <c r="O28" s="5"/>
      <c r="P28" s="5"/>
      <c r="Q28" s="43"/>
      <c r="R28" s="43"/>
      <c r="S28" s="43"/>
      <c r="T28" s="6"/>
    </row>
    <row r="29" spans="1:20" ht="17.25" x14ac:dyDescent="0.4">
      <c r="A29" s="71">
        <f>(66.67%*A24)+(33.33%*A25)</f>
        <v>37214.733484800003</v>
      </c>
      <c r="B29" s="69"/>
      <c r="C29" s="68"/>
      <c r="D29" s="68"/>
      <c r="E29" s="5"/>
      <c r="F29" s="5"/>
      <c r="G29" s="5"/>
      <c r="H29" s="5"/>
      <c r="I29" s="43"/>
      <c r="J29" s="43"/>
      <c r="K29" s="5"/>
      <c r="L29" s="5"/>
      <c r="M29" s="43"/>
      <c r="N29" s="43"/>
      <c r="O29" s="5"/>
      <c r="P29" s="5"/>
      <c r="Q29" s="43"/>
      <c r="R29" s="43"/>
      <c r="S29" s="43"/>
      <c r="T29" s="6"/>
    </row>
    <row r="30" spans="1:20" x14ac:dyDescent="0.25">
      <c r="A30" s="67"/>
      <c r="B30" s="69" t="s">
        <v>14</v>
      </c>
      <c r="C30" s="68"/>
      <c r="D30" s="68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7"/>
    </row>
    <row r="31" spans="1:20" x14ac:dyDescent="0.25">
      <c r="A31" s="70">
        <f>(E31*12)*0.9</f>
        <v>43329.815999999999</v>
      </c>
      <c r="B31" s="69" t="s">
        <v>63</v>
      </c>
      <c r="C31" s="68"/>
      <c r="D31" s="68"/>
      <c r="E31" s="5">
        <v>4012.02</v>
      </c>
      <c r="F31" s="5"/>
      <c r="G31" s="5"/>
      <c r="H31" s="5"/>
      <c r="I31" s="43"/>
      <c r="J31" s="43"/>
      <c r="K31" s="5"/>
      <c r="L31" s="5"/>
      <c r="M31" s="43"/>
      <c r="N31" s="43"/>
      <c r="O31" s="5"/>
      <c r="P31" s="5"/>
      <c r="Q31" s="43"/>
      <c r="R31" s="43"/>
      <c r="S31" s="43"/>
      <c r="T31" s="6"/>
    </row>
    <row r="32" spans="1:20" x14ac:dyDescent="0.25">
      <c r="A32" s="70">
        <f>(E32*12)*0.9</f>
        <v>32464.799999999999</v>
      </c>
      <c r="B32" s="69" t="s">
        <v>33</v>
      </c>
      <c r="C32" s="68"/>
      <c r="D32" s="68"/>
      <c r="E32" s="5">
        <v>3006</v>
      </c>
      <c r="F32" s="5"/>
      <c r="G32" s="5"/>
      <c r="H32" s="5"/>
      <c r="I32" s="43"/>
      <c r="J32" s="43"/>
      <c r="K32" s="5"/>
      <c r="L32" s="5"/>
      <c r="M32" s="43"/>
      <c r="N32" s="43"/>
      <c r="O32" s="5"/>
      <c r="P32" s="5"/>
      <c r="Q32" s="43"/>
      <c r="R32" s="43"/>
      <c r="S32" s="43"/>
      <c r="T32" s="6"/>
    </row>
    <row r="33" spans="1:20" ht="17.25" x14ac:dyDescent="0.4">
      <c r="A33" s="71">
        <f>SUM(A31:A32)/2</f>
        <v>37897.307999999997</v>
      </c>
      <c r="B33" s="69"/>
      <c r="C33" s="68"/>
      <c r="D33" s="68"/>
      <c r="E33" s="5"/>
      <c r="F33" s="5"/>
      <c r="G33" s="5"/>
      <c r="H33" s="5"/>
      <c r="I33" s="43"/>
      <c r="J33" s="43"/>
      <c r="K33" s="5"/>
      <c r="L33" s="5"/>
      <c r="M33" s="43"/>
      <c r="N33" s="43"/>
      <c r="O33" s="5"/>
      <c r="P33" s="5"/>
      <c r="Q33" s="43"/>
      <c r="R33" s="43"/>
      <c r="S33" s="43"/>
      <c r="T33" s="6"/>
    </row>
    <row r="34" spans="1:20" ht="17.25" x14ac:dyDescent="0.4">
      <c r="A34" s="71">
        <f>(25%*A31)+(75%*A32)</f>
        <v>35181.053999999996</v>
      </c>
      <c r="B34" s="69"/>
      <c r="C34" s="68"/>
      <c r="D34" s="68"/>
      <c r="E34" s="5"/>
      <c r="F34" s="5"/>
      <c r="G34" s="5"/>
      <c r="H34" s="5"/>
      <c r="I34" s="43"/>
      <c r="J34" s="43"/>
      <c r="K34" s="5"/>
      <c r="L34" s="5"/>
      <c r="M34" s="43"/>
      <c r="N34" s="43"/>
      <c r="O34" s="5"/>
      <c r="P34" s="5"/>
      <c r="Q34" s="43"/>
      <c r="R34" s="43"/>
      <c r="S34" s="43"/>
      <c r="T34" s="6"/>
    </row>
    <row r="35" spans="1:20" ht="17.25" x14ac:dyDescent="0.4">
      <c r="A35" s="71">
        <f>(75%*A31)+(25%*A32)</f>
        <v>40613.561999999998</v>
      </c>
      <c r="B35" s="69"/>
      <c r="C35" s="68"/>
      <c r="D35" s="68"/>
      <c r="E35" s="5"/>
      <c r="F35" s="5"/>
      <c r="G35" s="5"/>
      <c r="H35" s="5"/>
      <c r="I35" s="43"/>
      <c r="J35" s="43"/>
      <c r="K35" s="5"/>
      <c r="L35" s="5"/>
      <c r="M35" s="43"/>
      <c r="N35" s="43"/>
      <c r="O35" s="5"/>
      <c r="P35" s="5"/>
      <c r="Q35" s="43"/>
      <c r="R35" s="43"/>
      <c r="S35" s="43"/>
      <c r="T35" s="6"/>
    </row>
    <row r="36" spans="1:20" ht="17.25" x14ac:dyDescent="0.4">
      <c r="A36" s="71">
        <f>(66.67%*A31)+(33.33%*A32)</f>
        <v>39708.506167200001</v>
      </c>
      <c r="B36" s="69"/>
      <c r="C36" s="68"/>
      <c r="D36" s="68"/>
      <c r="E36" s="5"/>
      <c r="F36" s="5"/>
      <c r="G36" s="5"/>
      <c r="H36" s="5"/>
      <c r="I36" s="43"/>
      <c r="J36" s="43"/>
      <c r="K36" s="5"/>
      <c r="L36" s="5"/>
      <c r="M36" s="43"/>
      <c r="N36" s="43"/>
      <c r="O36" s="5"/>
      <c r="P36" s="5"/>
      <c r="Q36" s="43"/>
      <c r="R36" s="43"/>
      <c r="S36" s="43"/>
      <c r="T36" s="6"/>
    </row>
    <row r="37" spans="1:20" x14ac:dyDescent="0.25">
      <c r="A37" s="70"/>
      <c r="B37" s="69" t="s">
        <v>15</v>
      </c>
      <c r="C37" s="68"/>
      <c r="D37" s="68"/>
      <c r="E37" s="5"/>
      <c r="F37" s="5"/>
      <c r="G37" s="5"/>
      <c r="H37" s="5"/>
      <c r="I37" s="43"/>
      <c r="J37" s="43"/>
      <c r="K37" s="5"/>
      <c r="L37" s="5"/>
      <c r="M37" s="43"/>
      <c r="N37" s="43"/>
      <c r="O37" s="5"/>
      <c r="P37" s="5"/>
      <c r="Q37" s="43"/>
      <c r="R37" s="43"/>
      <c r="S37" s="43"/>
      <c r="T37" s="6"/>
    </row>
    <row r="38" spans="1:20" x14ac:dyDescent="0.25">
      <c r="A38" s="70">
        <f>(E38*12)*0.9</f>
        <v>49848.803999999996</v>
      </c>
      <c r="B38" s="69" t="s">
        <v>52</v>
      </c>
      <c r="C38" s="68"/>
      <c r="D38" s="68"/>
      <c r="E38" s="5">
        <v>4615.63</v>
      </c>
      <c r="F38" s="5"/>
      <c r="G38" s="5"/>
      <c r="H38" s="5"/>
      <c r="I38" s="43"/>
      <c r="J38" s="43"/>
      <c r="K38" s="5"/>
      <c r="L38" s="5"/>
      <c r="M38" s="43"/>
      <c r="N38" s="43"/>
      <c r="O38" s="5"/>
      <c r="P38" s="5"/>
      <c r="Q38" s="43"/>
      <c r="R38" s="43"/>
      <c r="S38" s="43"/>
      <c r="T38" s="6"/>
    </row>
    <row r="39" spans="1:20" x14ac:dyDescent="0.25">
      <c r="A39" s="70">
        <f>(E39*12)*0.9</f>
        <v>55749.599999999999</v>
      </c>
      <c r="B39" s="69" t="s">
        <v>34</v>
      </c>
      <c r="C39" s="68"/>
      <c r="D39" s="68"/>
      <c r="E39" s="5">
        <v>5162</v>
      </c>
      <c r="F39" s="5"/>
      <c r="G39" s="73"/>
      <c r="H39" s="73"/>
      <c r="I39" s="43"/>
      <c r="J39" s="43"/>
      <c r="K39" s="73"/>
      <c r="L39" s="73"/>
      <c r="M39" s="43"/>
      <c r="N39" s="43"/>
      <c r="O39" s="73"/>
      <c r="P39" s="73"/>
      <c r="Q39" s="43"/>
      <c r="R39" s="43"/>
      <c r="S39" s="43"/>
      <c r="T39" s="6"/>
    </row>
    <row r="40" spans="1:20" ht="17.25" x14ac:dyDescent="0.4">
      <c r="A40" s="72">
        <f>SUM(A38:A39)/2</f>
        <v>52799.201999999997</v>
      </c>
      <c r="B40" s="68"/>
      <c r="C40" s="68"/>
      <c r="D40" s="68"/>
      <c r="E40" s="5"/>
      <c r="F40" s="5"/>
      <c r="G40" s="73"/>
      <c r="H40" s="73"/>
      <c r="I40" s="43"/>
      <c r="J40" s="43"/>
      <c r="K40" s="73"/>
      <c r="L40" s="73"/>
      <c r="M40" s="43"/>
      <c r="N40" s="43"/>
      <c r="O40" s="73"/>
      <c r="P40" s="73"/>
      <c r="Q40" s="43"/>
      <c r="R40" s="43"/>
      <c r="S40" s="43"/>
      <c r="T40" s="6"/>
    </row>
    <row r="41" spans="1:20" ht="17.25" x14ac:dyDescent="0.4">
      <c r="A41" s="71">
        <f>(25%*A38)+(75%*A39)</f>
        <v>54274.400999999998</v>
      </c>
      <c r="B41" s="68"/>
      <c r="C41" s="68"/>
      <c r="D41" s="68"/>
      <c r="E41" s="5"/>
      <c r="F41" s="5"/>
      <c r="G41" s="73"/>
      <c r="H41" s="73"/>
      <c r="I41" s="43"/>
      <c r="J41" s="43"/>
      <c r="K41" s="73"/>
      <c r="L41" s="73"/>
      <c r="M41" s="43"/>
      <c r="N41" s="43"/>
      <c r="O41" s="73"/>
      <c r="P41" s="73"/>
      <c r="Q41" s="43"/>
      <c r="R41" s="43"/>
      <c r="S41" s="43"/>
      <c r="T41" s="6"/>
    </row>
    <row r="42" spans="1:20" ht="17.25" x14ac:dyDescent="0.4">
      <c r="A42" s="71">
        <f>(75%*A38)+(25%*A39)</f>
        <v>51324.002999999997</v>
      </c>
      <c r="B42" s="68"/>
      <c r="C42" s="68"/>
      <c r="D42" s="68"/>
      <c r="E42" s="5"/>
      <c r="F42" s="5"/>
      <c r="G42" s="73"/>
      <c r="H42" s="73"/>
      <c r="I42" s="43"/>
      <c r="J42" s="43"/>
      <c r="K42" s="73"/>
      <c r="L42" s="73"/>
      <c r="M42" s="43"/>
      <c r="N42" s="43"/>
      <c r="O42" s="73"/>
      <c r="P42" s="73"/>
      <c r="Q42" s="43"/>
      <c r="R42" s="43"/>
      <c r="S42" s="43"/>
      <c r="T42" s="6"/>
    </row>
    <row r="43" spans="1:20" ht="17.25" x14ac:dyDescent="0.4">
      <c r="A43" s="71">
        <f>(66.67%*A38)+(33.33%*A39)</f>
        <v>51815.539306799998</v>
      </c>
      <c r="B43" s="68"/>
      <c r="C43" s="68"/>
      <c r="D43" s="68"/>
      <c r="E43" s="5"/>
      <c r="F43" s="5"/>
      <c r="G43" s="73"/>
      <c r="H43" s="73"/>
      <c r="I43" s="43"/>
      <c r="J43" s="43"/>
      <c r="K43" s="73"/>
      <c r="L43" s="73"/>
      <c r="M43" s="43"/>
      <c r="N43" s="43"/>
      <c r="O43" s="73"/>
      <c r="P43" s="73"/>
      <c r="Q43" s="43"/>
      <c r="R43" s="43"/>
      <c r="S43" s="43"/>
      <c r="T43" s="6"/>
    </row>
    <row r="44" spans="1:20" x14ac:dyDescent="0.25">
      <c r="A44" s="70"/>
      <c r="B44" s="69" t="s">
        <v>30</v>
      </c>
      <c r="C44" s="68"/>
      <c r="D44" s="68"/>
      <c r="E44" s="5"/>
      <c r="F44" s="5"/>
      <c r="G44" s="73"/>
      <c r="H44" s="73"/>
      <c r="I44" s="43"/>
      <c r="J44" s="43"/>
      <c r="K44" s="73"/>
      <c r="L44" s="73"/>
      <c r="M44" s="43"/>
      <c r="N44" s="43"/>
      <c r="O44" s="73"/>
      <c r="P44" s="73"/>
      <c r="Q44" s="43"/>
      <c r="R44" s="43"/>
      <c r="S44" s="43"/>
      <c r="T44" s="6"/>
    </row>
    <row r="45" spans="1:20" x14ac:dyDescent="0.25">
      <c r="A45" s="70">
        <f>(E45*12)*0.9</f>
        <v>67316.400000000009</v>
      </c>
      <c r="B45" s="69" t="s">
        <v>64</v>
      </c>
      <c r="C45" s="68"/>
      <c r="D45" s="68"/>
      <c r="E45" s="5">
        <v>6233</v>
      </c>
      <c r="F45" s="5"/>
      <c r="G45" s="73"/>
      <c r="H45" s="73"/>
      <c r="I45" s="43"/>
      <c r="J45" s="43"/>
      <c r="K45" s="73"/>
      <c r="L45" s="73"/>
      <c r="M45" s="43"/>
      <c r="N45" s="43"/>
      <c r="O45" s="73"/>
      <c r="P45" s="73"/>
      <c r="Q45" s="43"/>
      <c r="R45" s="43"/>
      <c r="S45" s="43"/>
      <c r="T45" s="6"/>
    </row>
    <row r="46" spans="1:20" ht="17.25" x14ac:dyDescent="0.4">
      <c r="A46" s="72">
        <f>SUM(A45:A45)</f>
        <v>67316.400000000009</v>
      </c>
      <c r="B46" s="68"/>
      <c r="C46" s="68"/>
      <c r="D46" s="68"/>
      <c r="E46" s="5"/>
      <c r="F46" s="5"/>
      <c r="G46" s="73"/>
      <c r="H46" s="73"/>
      <c r="I46" s="43"/>
      <c r="J46" s="43"/>
      <c r="K46" s="73"/>
      <c r="L46" s="73"/>
      <c r="M46" s="43"/>
      <c r="N46" s="43"/>
      <c r="O46" s="73"/>
      <c r="P46" s="73"/>
      <c r="Q46" s="43"/>
      <c r="R46" s="43"/>
      <c r="S46" s="43"/>
      <c r="T46" s="6"/>
    </row>
    <row r="47" spans="1:20" ht="17.25" x14ac:dyDescent="0.4">
      <c r="A47" s="72"/>
      <c r="B47" s="68"/>
      <c r="C47" s="68"/>
      <c r="D47" s="68"/>
      <c r="E47" s="5"/>
      <c r="F47" s="5"/>
      <c r="G47" s="73"/>
      <c r="H47" s="73"/>
      <c r="I47" s="43"/>
      <c r="J47" s="43"/>
      <c r="K47" s="73"/>
      <c r="L47" s="73"/>
      <c r="M47" s="43"/>
      <c r="N47" s="43"/>
      <c r="O47" s="73"/>
      <c r="P47" s="73"/>
      <c r="Q47" s="43"/>
      <c r="R47" s="43"/>
      <c r="S47" s="43"/>
      <c r="T47" s="6"/>
    </row>
    <row r="48" spans="1:20" x14ac:dyDescent="0.25">
      <c r="A48" s="161">
        <v>1620</v>
      </c>
      <c r="B48" s="68" t="s">
        <v>19</v>
      </c>
      <c r="C48" s="68"/>
      <c r="D48" s="68"/>
      <c r="E48" s="5"/>
      <c r="F48" s="5"/>
      <c r="G48" s="73"/>
      <c r="H48" s="73"/>
      <c r="I48" s="43"/>
      <c r="J48" s="43"/>
      <c r="K48" s="73"/>
      <c r="L48" s="73"/>
      <c r="M48" s="43"/>
      <c r="N48" s="43"/>
      <c r="O48" s="73"/>
      <c r="P48" s="73"/>
      <c r="Q48" s="43"/>
      <c r="R48" s="43"/>
      <c r="S48" s="43"/>
      <c r="T48" s="6"/>
    </row>
  </sheetData>
  <mergeCells count="13">
    <mergeCell ref="BE1:BG1"/>
    <mergeCell ref="C1:E1"/>
    <mergeCell ref="G1:I1"/>
    <mergeCell ref="K1:M1"/>
    <mergeCell ref="O1:Q1"/>
    <mergeCell ref="S1:U1"/>
    <mergeCell ref="W1:Y1"/>
    <mergeCell ref="AA1:AC1"/>
    <mergeCell ref="AE1:AG1"/>
    <mergeCell ref="AK1:AM1"/>
    <mergeCell ref="AO1:AQ1"/>
    <mergeCell ref="AU1:AW1"/>
    <mergeCell ref="AY1:BA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Berekeningen</vt:lpstr>
      <vt:lpstr>Gegevens</vt:lpstr>
      <vt:lpstr>Berekeningen!Afdrukbereik</vt:lpstr>
    </vt:vector>
  </TitlesOfParts>
  <Company>Gemeente Gouda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Ernstjan van Dam</dc:creator>
  <cp:lastModifiedBy>Frank Feliks</cp:lastModifiedBy>
  <cp:lastPrinted>2017-10-03T07:41:54Z</cp:lastPrinted>
  <dcterms:created xsi:type="dcterms:W3CDTF">2017-07-05T06:21:55Z</dcterms:created>
  <dcterms:modified xsi:type="dcterms:W3CDTF">2020-06-24T12:44:36Z</dcterms:modified>
</cp:coreProperties>
</file>