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UDE MAP\204590\00. Bestanden divers\999. Berekening tarieven 2018\Jeugd GGZ\"/>
    </mc:Choice>
  </mc:AlternateContent>
  <bookViews>
    <workbookView xWindow="0" yWindow="0" windowWidth="24675" windowHeight="7575"/>
  </bookViews>
  <sheets>
    <sheet name="GGZ Tarieven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8" i="1" l="1"/>
  <c r="BY15" i="1" l="1"/>
  <c r="H28" i="1" l="1"/>
  <c r="A28" i="1" s="1"/>
  <c r="G27" i="1"/>
  <c r="H27" i="1" s="1"/>
  <c r="A27" i="1" s="1"/>
  <c r="H26" i="1"/>
  <c r="A26" i="1" s="1"/>
  <c r="P6" i="1" s="1"/>
  <c r="H25" i="1"/>
  <c r="A25" i="1" s="1"/>
  <c r="O6" i="1" s="1"/>
  <c r="H24" i="1"/>
  <c r="A24" i="1" s="1"/>
  <c r="AU21" i="1"/>
  <c r="BV13" i="1"/>
  <c r="BU21" i="1" s="1"/>
  <c r="A11" i="1"/>
  <c r="BP13" i="1"/>
  <c r="BO21" i="1" s="1"/>
  <c r="BN13" i="1"/>
  <c r="BM21" i="1" s="1"/>
  <c r="BK13" i="1"/>
  <c r="BJ21" i="1" s="1"/>
  <c r="BH13" i="1"/>
  <c r="BG21" i="1" s="1"/>
  <c r="BE13" i="1"/>
  <c r="BD21" i="1" s="1"/>
  <c r="BB13" i="1"/>
  <c r="BA21" i="1" s="1"/>
  <c r="AY13" i="1"/>
  <c r="AX21" i="1" s="1"/>
  <c r="CA7" i="1"/>
  <c r="BX7" i="1"/>
  <c r="AO7" i="1"/>
  <c r="AL7" i="1"/>
  <c r="AB6" i="1" l="1"/>
  <c r="AB7" i="1" s="1"/>
  <c r="D6" i="1"/>
  <c r="D7" i="1" s="1"/>
  <c r="H6" i="1"/>
  <c r="U6" i="1"/>
  <c r="U7" i="1" s="1"/>
  <c r="E6" i="1"/>
  <c r="E7" i="1" s="1"/>
  <c r="I6" i="1"/>
  <c r="I7" i="1" s="1"/>
  <c r="AC6" i="1"/>
  <c r="Y6" i="1"/>
  <c r="Y8" i="1" s="1"/>
  <c r="AG6" i="1"/>
  <c r="Q6" i="1"/>
  <c r="Q7" i="1" s="1"/>
  <c r="M6" i="1"/>
  <c r="O8" i="1"/>
  <c r="P8" i="1"/>
  <c r="AB8" i="1"/>
  <c r="AB9" i="1" s="1"/>
  <c r="AF6" i="1"/>
  <c r="X6" i="1"/>
  <c r="L6" i="1"/>
  <c r="T6" i="1"/>
  <c r="D8" i="1"/>
  <c r="D9" i="1" s="1"/>
  <c r="K6" i="1"/>
  <c r="S6" i="1"/>
  <c r="AE6" i="1"/>
  <c r="C6" i="1"/>
  <c r="W6" i="1"/>
  <c r="G6" i="1"/>
  <c r="O7" i="1"/>
  <c r="H8" i="1"/>
  <c r="H7" i="1"/>
  <c r="H9" i="1" s="1"/>
  <c r="AA6" i="1"/>
  <c r="P7" i="1"/>
  <c r="I8" i="1"/>
  <c r="I9" i="1" s="1"/>
  <c r="Y7" i="1" l="1"/>
  <c r="Y9" i="1" s="1"/>
  <c r="E8" i="1"/>
  <c r="E9" i="1" s="1"/>
  <c r="E10" i="1" s="1"/>
  <c r="U8" i="1"/>
  <c r="U9" i="1" s="1"/>
  <c r="Q8" i="1"/>
  <c r="Q9" i="1" s="1"/>
  <c r="O9" i="1"/>
  <c r="O11" i="1" s="1"/>
  <c r="P9" i="1"/>
  <c r="P11" i="1" s="1"/>
  <c r="AC8" i="1"/>
  <c r="AC7" i="1"/>
  <c r="AG7" i="1"/>
  <c r="AG8" i="1"/>
  <c r="M7" i="1"/>
  <c r="M8" i="1"/>
  <c r="I11" i="1"/>
  <c r="I10" i="1"/>
  <c r="P10" i="1"/>
  <c r="E11" i="1"/>
  <c r="H11" i="1"/>
  <c r="H10" i="1"/>
  <c r="AB10" i="1"/>
  <c r="AB11" i="1"/>
  <c r="G8" i="1"/>
  <c r="G7" i="1"/>
  <c r="W7" i="1"/>
  <c r="W8" i="1"/>
  <c r="AE7" i="1"/>
  <c r="AE8" i="1"/>
  <c r="AE9" i="1" s="1"/>
  <c r="S8" i="1"/>
  <c r="S7" i="1"/>
  <c r="AA8" i="1"/>
  <c r="AA7" i="1"/>
  <c r="C7" i="1"/>
  <c r="C8" i="1"/>
  <c r="D10" i="1"/>
  <c r="D11" i="1"/>
  <c r="D12" i="1" s="1"/>
  <c r="D16" i="1" s="1"/>
  <c r="D18" i="1" s="1"/>
  <c r="T7" i="1"/>
  <c r="T8" i="1"/>
  <c r="L7" i="1"/>
  <c r="L8" i="1"/>
  <c r="K7" i="1"/>
  <c r="K8" i="1"/>
  <c r="X7" i="1"/>
  <c r="X8" i="1"/>
  <c r="AF7" i="1"/>
  <c r="AF8" i="1"/>
  <c r="Y10" i="1"/>
  <c r="Y11" i="1"/>
  <c r="K9" i="1" l="1"/>
  <c r="I12" i="1"/>
  <c r="I16" i="1" s="1"/>
  <c r="I18" i="1" s="1"/>
  <c r="S9" i="1"/>
  <c r="O10" i="1"/>
  <c r="L9" i="1"/>
  <c r="U10" i="1"/>
  <c r="U11" i="1"/>
  <c r="Q10" i="1"/>
  <c r="Q11" i="1"/>
  <c r="Y12" i="1"/>
  <c r="Y16" i="1" s="1"/>
  <c r="Y18" i="1" s="1"/>
  <c r="AC9" i="1"/>
  <c r="AC11" i="1" s="1"/>
  <c r="AB12" i="1"/>
  <c r="AB16" i="1" s="1"/>
  <c r="AB18" i="1" s="1"/>
  <c r="H12" i="1"/>
  <c r="H16" i="1" s="1"/>
  <c r="H18" i="1" s="1"/>
  <c r="P12" i="1"/>
  <c r="P16" i="1" s="1"/>
  <c r="P18" i="1" s="1"/>
  <c r="AF9" i="1"/>
  <c r="AF11" i="1" s="1"/>
  <c r="G9" i="1"/>
  <c r="G11" i="1" s="1"/>
  <c r="E12" i="1"/>
  <c r="E16" i="1" s="1"/>
  <c r="AA9" i="1"/>
  <c r="AA10" i="1" s="1"/>
  <c r="W9" i="1"/>
  <c r="W11" i="1" s="1"/>
  <c r="M9" i="1"/>
  <c r="T9" i="1"/>
  <c r="T10" i="1" s="1"/>
  <c r="O12" i="1"/>
  <c r="O16" i="1" s="1"/>
  <c r="O18" i="1" s="1"/>
  <c r="X9" i="1"/>
  <c r="X10" i="1" s="1"/>
  <c r="C9" i="1"/>
  <c r="C11" i="1" s="1"/>
  <c r="AG9" i="1"/>
  <c r="K11" i="1"/>
  <c r="K10" i="1"/>
  <c r="S10" i="1"/>
  <c r="S11" i="1"/>
  <c r="L11" i="1"/>
  <c r="L10" i="1"/>
  <c r="L12" i="1" s="1"/>
  <c r="L16" i="1" s="1"/>
  <c r="L18" i="1" s="1"/>
  <c r="AE11" i="1"/>
  <c r="AE10" i="1"/>
  <c r="G10" i="1" l="1"/>
  <c r="AF10" i="1"/>
  <c r="AF12" i="1" s="1"/>
  <c r="AF16" i="1" s="1"/>
  <c r="AF18" i="1" s="1"/>
  <c r="U12" i="1"/>
  <c r="U16" i="1" s="1"/>
  <c r="U18" i="1" s="1"/>
  <c r="W10" i="1"/>
  <c r="W12" i="1" s="1"/>
  <c r="W16" i="1" s="1"/>
  <c r="W18" i="1" s="1"/>
  <c r="Q12" i="1"/>
  <c r="Q16" i="1" s="1"/>
  <c r="Q18" i="1" s="1"/>
  <c r="O21" i="1" s="1"/>
  <c r="AC10" i="1"/>
  <c r="AC12" i="1" s="1"/>
  <c r="AC16" i="1" s="1"/>
  <c r="AC18" i="1" s="1"/>
  <c r="T11" i="1"/>
  <c r="T12" i="1" s="1"/>
  <c r="T16" i="1" s="1"/>
  <c r="T18" i="1" s="1"/>
  <c r="AE12" i="1"/>
  <c r="AE16" i="1" s="1"/>
  <c r="AE18" i="1" s="1"/>
  <c r="C10" i="1"/>
  <c r="C12" i="1" s="1"/>
  <c r="C16" i="1" s="1"/>
  <c r="C18" i="1" s="1"/>
  <c r="AS7" i="1"/>
  <c r="AS10" i="1" s="1"/>
  <c r="AS14" i="1" s="1"/>
  <c r="AR21" i="1" s="1"/>
  <c r="X11" i="1"/>
  <c r="X12" i="1" s="1"/>
  <c r="X16" i="1" s="1"/>
  <c r="X18" i="1" s="1"/>
  <c r="K12" i="1"/>
  <c r="K16" i="1" s="1"/>
  <c r="K18" i="1" s="1"/>
  <c r="CE7" i="1"/>
  <c r="CE8" i="1" s="1"/>
  <c r="CE14" i="1" s="1"/>
  <c r="CD21" i="1" s="1"/>
  <c r="E18" i="1"/>
  <c r="AG10" i="1"/>
  <c r="AG11" i="1"/>
  <c r="S12" i="1"/>
  <c r="S16" i="1" s="1"/>
  <c r="S18" i="1" s="1"/>
  <c r="AA11" i="1"/>
  <c r="AA12" i="1" s="1"/>
  <c r="AA16" i="1" s="1"/>
  <c r="AA18" i="1" s="1"/>
  <c r="G12" i="1"/>
  <c r="G16" i="1" s="1"/>
  <c r="G18" i="1" s="1"/>
  <c r="G21" i="1" s="1"/>
  <c r="H21" i="1" s="1"/>
  <c r="AP7" i="1" s="1"/>
  <c r="AP10" i="1" s="1"/>
  <c r="AP14" i="1" s="1"/>
  <c r="AO21" i="1" s="1"/>
  <c r="AP21" i="1" s="1"/>
  <c r="M11" i="1"/>
  <c r="M10" i="1"/>
  <c r="C21" i="1" l="1"/>
  <c r="CB7" i="1" s="1"/>
  <c r="CB8" i="1" s="1"/>
  <c r="CB14" i="1" s="1"/>
  <c r="CA21" i="1" s="1"/>
  <c r="AA21" i="1"/>
  <c r="W21" i="1"/>
  <c r="BY7" i="1" s="1"/>
  <c r="BY8" i="1" s="1"/>
  <c r="BY14" i="1" s="1"/>
  <c r="BX21" i="1" s="1"/>
  <c r="AM7" i="1"/>
  <c r="AM10" i="1" s="1"/>
  <c r="AM14" i="1" s="1"/>
  <c r="AL21" i="1" s="1"/>
  <c r="AM21" i="1" s="1"/>
  <c r="D21" i="1"/>
  <c r="S21" i="1"/>
  <c r="AG12" i="1"/>
  <c r="AG16" i="1" s="1"/>
  <c r="AG18" i="1" s="1"/>
  <c r="AE21" i="1" s="1"/>
  <c r="M12" i="1"/>
  <c r="M16" i="1" s="1"/>
  <c r="M18" i="1" s="1"/>
  <c r="K21" i="1" s="1"/>
  <c r="L21" i="1" s="1"/>
</calcChain>
</file>

<file path=xl/comments1.xml><?xml version="1.0" encoding="utf-8"?>
<comments xmlns="http://schemas.openxmlformats.org/spreadsheetml/2006/main">
  <authors>
    <author>Frank Feliks</author>
    <author>Bakelaar</author>
  </authors>
  <commentList>
    <comment ref="AU3" authorId="0" shapeId="0">
      <text>
        <r>
          <rPr>
            <sz val="9"/>
            <color indexed="81"/>
            <rFont val="Tahoma"/>
            <family val="2"/>
          </rPr>
          <t xml:space="preserve">Keuze voor aangepaste beleidsregel 04 ivm groot verschil tarief tov 01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90% van het maximum van de schaal.</t>
        </r>
      </text>
    </comment>
    <comment ref="CA7" authorId="0" shapeId="0">
      <text>
        <r>
          <rPr>
            <b/>
            <sz val="9"/>
            <color indexed="81"/>
            <rFont val="Tahoma"/>
            <charset val="1"/>
          </rPr>
          <t>Betrokkenheid van zowel kinderarts als psycholoog. Tarief daarom vergelijkbaar met SGGZ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D7" authorId="0" shapeId="0">
      <text>
        <r>
          <rPr>
            <b/>
            <sz val="9"/>
            <color indexed="81"/>
            <rFont val="Tahoma"/>
            <charset val="1"/>
          </rPr>
          <t>Tarief MS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</rPr>
          <t xml:space="preserve">BA:
</t>
        </r>
        <r>
          <rPr>
            <sz val="8"/>
            <color indexed="81"/>
            <rFont val="Tahoma"/>
            <family val="2"/>
          </rPr>
          <t xml:space="preserve">
44,64% tbv basisGGZ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Op basis van uitvraag</t>
        </r>
        <r>
          <rPr>
            <sz val="9"/>
            <color indexed="81"/>
            <rFont val="Tahoma"/>
            <family val="2"/>
          </rPr>
          <t xml:space="preserve">
wanneer geen keuze voor standaard 1.290 uur</t>
        </r>
      </text>
    </comment>
    <comment ref="BX14" authorId="0" shapeId="0">
      <text>
        <r>
          <rPr>
            <b/>
            <sz val="9"/>
            <color indexed="81"/>
            <rFont val="Tahoma"/>
            <charset val="1"/>
          </rPr>
          <t>Gemiddelde duur diagnosestelling en psycho-educatie in ADHD-pilot in BGGZ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U15" authorId="0" shapeId="0">
      <text>
        <r>
          <rPr>
            <sz val="9"/>
            <color indexed="81"/>
            <rFont val="Tahoma"/>
            <charset val="1"/>
          </rPr>
          <t xml:space="preserve">Doorvertaling korting op landelijke tarieven
</t>
        </r>
      </text>
    </comment>
    <comment ref="AX15" authorId="0" shapeId="0">
      <text>
        <r>
          <rPr>
            <sz val="9"/>
            <color indexed="81"/>
            <rFont val="Tahoma"/>
            <charset val="1"/>
          </rPr>
          <t xml:space="preserve">Doorvertaling korting op landelijke tarieven
</t>
        </r>
      </text>
    </comment>
    <comment ref="BO15" authorId="0" shapeId="0">
      <text>
        <r>
          <rPr>
            <sz val="9"/>
            <color indexed="81"/>
            <rFont val="Tahoma"/>
            <charset val="1"/>
          </rPr>
          <t xml:space="preserve">Doorvertaling korting op landelijke tarieven
</t>
        </r>
      </text>
    </comment>
    <comment ref="BU15" authorId="0" shapeId="0">
      <text>
        <r>
          <rPr>
            <sz val="9"/>
            <color indexed="81"/>
            <rFont val="Tahoma"/>
            <charset val="1"/>
          </rPr>
          <t xml:space="preserve">Doorvertaling korting op landelijke tarieven
</t>
        </r>
      </text>
    </comment>
    <comment ref="BX15" authorId="0" shapeId="0">
      <text>
        <r>
          <rPr>
            <b/>
            <sz val="9"/>
            <color indexed="81"/>
            <rFont val="Tahoma"/>
            <charset val="1"/>
          </rPr>
          <t>Specifieke inzet kinderarts 1,5 uur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<sst xmlns="http://schemas.openxmlformats.org/spreadsheetml/2006/main" count="114" uniqueCount="66">
  <si>
    <t>Verblijf c</t>
  </si>
  <si>
    <t>Verblijf d</t>
  </si>
  <si>
    <t>Verblijf e</t>
  </si>
  <si>
    <t>Verblijf f</t>
  </si>
  <si>
    <t>HBO</t>
  </si>
  <si>
    <t>WO</t>
  </si>
  <si>
    <t>MS</t>
  </si>
  <si>
    <t>Conform beleidsregel NZA TB/REG-17600-04</t>
  </si>
  <si>
    <t xml:space="preserve">Bruto loonkosten </t>
  </si>
  <si>
    <t>Vakantiegeld</t>
  </si>
  <si>
    <t xml:space="preserve">Deelprestatie verblijf b (Gemiddelde verzorgingsgraad) </t>
  </si>
  <si>
    <t xml:space="preserve">Deelprestatie verblijf c (Gemiddelde verzorgingsgraad) </t>
  </si>
  <si>
    <t xml:space="preserve">Deelprestatie verblijf d (Gemiddelde verzorgingsgraad) </t>
  </si>
  <si>
    <t xml:space="preserve">Deelprestatie verblijf e (Gemiddelde verzorgingsgraad) </t>
  </si>
  <si>
    <t xml:space="preserve">Deelprestatie verblijf f (Gemiddelde verzorgingsgraad) </t>
  </si>
  <si>
    <t>EJU</t>
  </si>
  <si>
    <t xml:space="preserve">Minuut tarief </t>
  </si>
  <si>
    <t>Sociale lasten</t>
  </si>
  <si>
    <t>Overhead</t>
  </si>
  <si>
    <t xml:space="preserve">Gemiddeld tarief </t>
  </si>
  <si>
    <t>Cliëntgebonden uren</t>
  </si>
  <si>
    <t>Behandeling 60 min</t>
  </si>
  <si>
    <t>Duur 15 min</t>
  </si>
  <si>
    <t>Behandeling 660 min</t>
  </si>
  <si>
    <t>Behandeling 165 min</t>
  </si>
  <si>
    <t>Behandeling 15 min</t>
  </si>
  <si>
    <t xml:space="preserve">korting </t>
  </si>
  <si>
    <t>Minuten in traject</t>
  </si>
  <si>
    <t>Salariëring conform CAO GGZ 1 juli 2017</t>
  </si>
  <si>
    <t>MBO, schaal 45</t>
  </si>
  <si>
    <t>HBO, schaal 55</t>
  </si>
  <si>
    <t>WO, schaal 65</t>
  </si>
  <si>
    <t>WO, schaal 65+70/2</t>
  </si>
  <si>
    <t>MS, schaal MS</t>
  </si>
  <si>
    <t>functie mix cf handreiking VNG</t>
  </si>
  <si>
    <t xml:space="preserve">Clienttijd uur tarief </t>
  </si>
  <si>
    <t>Tarief</t>
  </si>
  <si>
    <t>Rekenpercentages op basis van memo 'Advies uitgangspunten kostprijs berekeningen' bij geen keuze voor gegevens uitvraag</t>
  </si>
  <si>
    <t>Totale kosten</t>
  </si>
  <si>
    <t>Uurtarief medisch specalist</t>
  </si>
  <si>
    <t xml:space="preserve">Tarief </t>
  </si>
  <si>
    <t xml:space="preserve">Korting </t>
  </si>
  <si>
    <t xml:space="preserve">Cliënttijd uurtarief </t>
  </si>
  <si>
    <t>Medisch specialist</t>
  </si>
  <si>
    <t>Kinderarts</t>
  </si>
  <si>
    <t>Conform tarief deelprestatie verblijf G</t>
  </si>
  <si>
    <t>54002 - JGGZ Behandeling specialistisch</t>
  </si>
  <si>
    <t>54003 - JGGZ Behandeling hoog-specialistisch</t>
  </si>
  <si>
    <t>54004 - JGGZ Diagnostiek</t>
  </si>
  <si>
    <t>51A00 - GBGGZ Kort</t>
  </si>
  <si>
    <t>51A01 - GBGGZ Middel</t>
  </si>
  <si>
    <t>51A03 - GBGGZ Intensief</t>
  </si>
  <si>
    <t>51A05 - GBGGZ Intensief Plus</t>
  </si>
  <si>
    <t>51A04 - GBGGZ Onvolledig  Behandeltraject</t>
  </si>
  <si>
    <t xml:space="preserve">54016 - JGGZ Crisis  Behandeling </t>
  </si>
  <si>
    <t>54017 - JGGZ Crisis Behandeling bij Verblijf</t>
  </si>
  <si>
    <t xml:space="preserve">54C01 - JGGZ Consultatie </t>
  </si>
  <si>
    <t>54008 - JGGZ Beschikbaarheidscomponent</t>
  </si>
  <si>
    <t>54005 - JGGZ Verblijf licht</t>
  </si>
  <si>
    <t>54006 - JGGZ Verblijf zwaar</t>
  </si>
  <si>
    <t xml:space="preserve">Gemiddelde van tarieven deelprestaties verblijf E en F </t>
  </si>
  <si>
    <t>54007 - JGGZ VZO</t>
  </si>
  <si>
    <t>53A01 - Kinderarts - Intake e.d.</t>
  </si>
  <si>
    <t>53A02 - Kinderarts -  Medicamenteuze behandeling</t>
  </si>
  <si>
    <t>53C01 - Kinderarts - Consult medicatieadvies</t>
  </si>
  <si>
    <t>Conform beleidsregel NZA TB/REG-17600-01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</si>
</sst>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u val="doubleAccounting"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44" fontId="5" fillId="0" borderId="0" xfId="2" applyFont="1"/>
    <xf numFmtId="0" fontId="0" fillId="0" borderId="0" xfId="0" applyBorder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0" xfId="0" applyFill="1"/>
    <xf numFmtId="9" fontId="0" fillId="0" borderId="7" xfId="3" applyFont="1" applyFill="1" applyBorder="1" applyAlignment="1"/>
    <xf numFmtId="9" fontId="0" fillId="0" borderId="0" xfId="3" applyFont="1" applyFill="1" applyBorder="1" applyAlignment="1"/>
    <xf numFmtId="9" fontId="0" fillId="0" borderId="8" xfId="3" applyFont="1" applyFill="1" applyBorder="1" applyAlignment="1"/>
    <xf numFmtId="9" fontId="0" fillId="0" borderId="0" xfId="3" applyFont="1" applyFill="1"/>
    <xf numFmtId="0" fontId="0" fillId="0" borderId="7" xfId="0" applyFill="1" applyBorder="1"/>
    <xf numFmtId="0" fontId="0" fillId="0" borderId="7" xfId="0" applyBorder="1"/>
    <xf numFmtId="0" fontId="0" fillId="0" borderId="8" xfId="0" applyFill="1" applyBorder="1"/>
    <xf numFmtId="44" fontId="0" fillId="0" borderId="7" xfId="2" applyFont="1" applyBorder="1"/>
    <xf numFmtId="44" fontId="0" fillId="0" borderId="0" xfId="2" applyFont="1" applyBorder="1"/>
    <xf numFmtId="44" fontId="0" fillId="0" borderId="8" xfId="2" applyFont="1" applyBorder="1"/>
    <xf numFmtId="0" fontId="0" fillId="0" borderId="8" xfId="0" applyBorder="1"/>
    <xf numFmtId="44" fontId="0" fillId="0" borderId="7" xfId="2" applyFont="1" applyBorder="1" applyAlignment="1">
      <alignment horizontal="left" wrapText="1"/>
    </xf>
    <xf numFmtId="8" fontId="0" fillId="0" borderId="8" xfId="0" applyNumberFormat="1" applyBorder="1"/>
    <xf numFmtId="0" fontId="2" fillId="0" borderId="7" xfId="0" applyFont="1" applyFill="1" applyBorder="1"/>
    <xf numFmtId="44" fontId="2" fillId="0" borderId="7" xfId="2" applyFont="1" applyBorder="1"/>
    <xf numFmtId="44" fontId="2" fillId="0" borderId="0" xfId="2" applyFont="1" applyBorder="1"/>
    <xf numFmtId="44" fontId="2" fillId="0" borderId="8" xfId="2" applyFont="1" applyBorder="1"/>
    <xf numFmtId="0" fontId="3" fillId="0" borderId="7" xfId="0" applyFont="1" applyFill="1" applyBorder="1" applyAlignment="1"/>
    <xf numFmtId="44" fontId="5" fillId="0" borderId="8" xfId="2" applyFont="1" applyFill="1" applyBorder="1"/>
    <xf numFmtId="44" fontId="0" fillId="0" borderId="7" xfId="0" applyNumberFormat="1" applyBorder="1"/>
    <xf numFmtId="44" fontId="0" fillId="0" borderId="0" xfId="0" applyNumberFormat="1" applyBorder="1"/>
    <xf numFmtId="44" fontId="0" fillId="0" borderId="8" xfId="0" applyNumberFormat="1" applyBorder="1"/>
    <xf numFmtId="1" fontId="0" fillId="0" borderId="7" xfId="1" applyNumberFormat="1" applyFont="1" applyBorder="1"/>
    <xf numFmtId="1" fontId="0" fillId="0" borderId="0" xfId="1" applyNumberFormat="1" applyFont="1" applyBorder="1"/>
    <xf numFmtId="1" fontId="0" fillId="0" borderId="8" xfId="1" applyNumberFormat="1" applyFont="1" applyBorder="1"/>
    <xf numFmtId="44" fontId="1" fillId="0" borderId="7" xfId="2" applyFont="1" applyBorder="1"/>
    <xf numFmtId="44" fontId="1" fillId="0" borderId="8" xfId="2" applyFont="1" applyBorder="1"/>
    <xf numFmtId="9" fontId="0" fillId="0" borderId="8" xfId="2" applyNumberFormat="1" applyFont="1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0" xfId="1" applyNumberFormat="1" applyFont="1"/>
    <xf numFmtId="44" fontId="0" fillId="0" borderId="0" xfId="2" applyFont="1"/>
    <xf numFmtId="44" fontId="8" fillId="0" borderId="7" xfId="2" applyFont="1" applyFill="1" applyBorder="1"/>
    <xf numFmtId="44" fontId="0" fillId="0" borderId="11" xfId="2" applyFont="1" applyBorder="1"/>
    <xf numFmtId="44" fontId="8" fillId="0" borderId="12" xfId="2" applyFont="1" applyBorder="1"/>
    <xf numFmtId="44" fontId="9" fillId="0" borderId="13" xfId="2" applyFont="1" applyBorder="1"/>
    <xf numFmtId="44" fontId="2" fillId="0" borderId="13" xfId="2" applyFont="1" applyBorder="1"/>
    <xf numFmtId="44" fontId="8" fillId="0" borderId="11" xfId="2" applyFont="1" applyBorder="1"/>
    <xf numFmtId="44" fontId="2" fillId="0" borderId="12" xfId="2" applyFont="1" applyBorder="1"/>
    <xf numFmtId="44" fontId="8" fillId="0" borderId="0" xfId="2" applyFont="1"/>
    <xf numFmtId="44" fontId="0" fillId="0" borderId="0" xfId="0" applyNumberFormat="1"/>
    <xf numFmtId="0" fontId="3" fillId="2" borderId="0" xfId="0" applyFont="1" applyFill="1"/>
    <xf numFmtId="0" fontId="11" fillId="0" borderId="0" xfId="0" applyFont="1" applyAlignment="1">
      <alignment vertical="center"/>
    </xf>
    <xf numFmtId="44" fontId="3" fillId="2" borderId="0" xfId="2" applyFont="1" applyFill="1"/>
    <xf numFmtId="0" fontId="10" fillId="2" borderId="0" xfId="0" applyFont="1" applyFill="1" applyAlignment="1">
      <alignment horizontal="left" vertical="center"/>
    </xf>
    <xf numFmtId="0" fontId="0" fillId="3" borderId="0" xfId="0" applyFill="1"/>
    <xf numFmtId="9" fontId="0" fillId="3" borderId="0" xfId="3" applyFont="1" applyFill="1"/>
    <xf numFmtId="10" fontId="0" fillId="3" borderId="0" xfId="3" applyNumberFormat="1" applyFont="1" applyFill="1"/>
    <xf numFmtId="10" fontId="0" fillId="3" borderId="9" xfId="3" applyNumberFormat="1" applyFont="1" applyFill="1" applyBorder="1"/>
    <xf numFmtId="10" fontId="0" fillId="3" borderId="10" xfId="0" applyNumberFormat="1" applyFill="1" applyBorder="1"/>
    <xf numFmtId="10" fontId="0" fillId="3" borderId="0" xfId="0" applyNumberFormat="1" applyFill="1"/>
    <xf numFmtId="9" fontId="0" fillId="3" borderId="0" xfId="0" applyNumberFormat="1" applyFill="1"/>
    <xf numFmtId="44" fontId="0" fillId="3" borderId="0" xfId="2" applyFont="1" applyFill="1"/>
    <xf numFmtId="0" fontId="14" fillId="3" borderId="0" xfId="0" applyFont="1" applyFill="1" applyAlignment="1">
      <alignment wrapText="1"/>
    </xf>
    <xf numFmtId="0" fontId="14" fillId="3" borderId="14" xfId="0" applyFont="1" applyFill="1" applyBorder="1" applyAlignment="1">
      <alignment wrapText="1"/>
    </xf>
    <xf numFmtId="0" fontId="0" fillId="3" borderId="0" xfId="1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44" fontId="0" fillId="0" borderId="7" xfId="2" applyFont="1" applyBorder="1" applyAlignment="1">
      <alignment horizontal="left" wrapText="1"/>
    </xf>
    <xf numFmtId="44" fontId="7" fillId="0" borderId="7" xfId="2" applyFont="1" applyBorder="1" applyAlignment="1">
      <alignment horizontal="left" wrapText="1"/>
    </xf>
    <xf numFmtId="0" fontId="10" fillId="2" borderId="0" xfId="0" applyFont="1" applyFill="1" applyAlignment="1">
      <alignment horizontal="left" vertical="center"/>
    </xf>
    <xf numFmtId="44" fontId="8" fillId="0" borderId="11" xfId="2" applyFont="1" applyFill="1" applyBorder="1"/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38"/>
  <sheetViews>
    <sheetView tabSelected="1" workbookViewId="0">
      <pane xSplit="1" ySplit="2" topLeftCell="AS3" activePane="bottomRight" state="frozen"/>
      <selection pane="topRight" activeCell="B1" sqref="B1"/>
      <selection pane="bottomLeft" activeCell="A3" sqref="A3"/>
      <selection pane="bottomRight" activeCell="AV7" sqref="AV7"/>
    </sheetView>
  </sheetViews>
  <sheetFormatPr defaultRowHeight="17.25" x14ac:dyDescent="0.4"/>
  <cols>
    <col min="1" max="1" width="19.42578125" customWidth="1"/>
    <col min="2" max="2" width="40.5703125" bestFit="1" customWidth="1"/>
    <col min="3" max="4" width="15.28515625" bestFit="1" customWidth="1"/>
    <col min="5" max="5" width="16.85546875" bestFit="1" customWidth="1"/>
    <col min="6" max="6" width="2.140625" customWidth="1"/>
    <col min="7" max="9" width="18.28515625" customWidth="1"/>
    <col min="10" max="10" width="2.5703125" customWidth="1"/>
    <col min="11" max="13" width="20.28515625" customWidth="1"/>
    <col min="14" max="14" width="2.85546875" customWidth="1"/>
    <col min="15" max="16" width="20.5703125" customWidth="1"/>
    <col min="17" max="17" width="20.5703125" style="2" customWidth="1"/>
    <col min="18" max="18" width="2" customWidth="1"/>
    <col min="19" max="21" width="16.5703125" customWidth="1"/>
    <col min="22" max="22" width="2" customWidth="1"/>
    <col min="23" max="25" width="16.5703125" customWidth="1"/>
    <col min="26" max="26" width="2.5703125" customWidth="1"/>
    <col min="27" max="29" width="16.5703125" customWidth="1"/>
    <col min="30" max="30" width="2.7109375" customWidth="1"/>
    <col min="31" max="33" width="19.7109375" customWidth="1"/>
    <col min="34" max="35" width="15.85546875" hidden="1" customWidth="1"/>
    <col min="36" max="36" width="0" hidden="1" customWidth="1"/>
    <col min="37" max="37" width="2.5703125" customWidth="1"/>
    <col min="38" max="39" width="21.28515625" customWidth="1"/>
    <col min="40" max="40" width="2.5703125" customWidth="1"/>
    <col min="41" max="42" width="21.28515625" customWidth="1"/>
    <col min="43" max="43" width="2.5703125" customWidth="1"/>
    <col min="44" max="44" width="26.42578125" bestFit="1" customWidth="1"/>
    <col min="45" max="45" width="21.28515625" customWidth="1"/>
    <col min="46" max="46" width="2.5703125" customWidth="1"/>
    <col min="47" max="48" width="21.28515625" customWidth="1"/>
    <col min="49" max="49" width="2.5703125" customWidth="1"/>
    <col min="50" max="50" width="27.140625" customWidth="1"/>
    <col min="51" max="51" width="12.7109375" customWidth="1"/>
    <col min="52" max="52" width="2.5703125" customWidth="1"/>
    <col min="53" max="53" width="32.5703125" hidden="1" customWidth="1"/>
    <col min="54" max="54" width="9.85546875" hidden="1" customWidth="1"/>
    <col min="55" max="55" width="1.140625" hidden="1" customWidth="1"/>
    <col min="56" max="56" width="33" hidden="1" customWidth="1"/>
    <col min="57" max="57" width="11.42578125" hidden="1" customWidth="1"/>
    <col min="58" max="58" width="1.140625" hidden="1" customWidth="1"/>
    <col min="59" max="59" width="32.5703125" hidden="1" customWidth="1"/>
    <col min="60" max="60" width="9.7109375" hidden="1" customWidth="1"/>
    <col min="61" max="61" width="1.140625" hidden="1" customWidth="1"/>
    <col min="62" max="62" width="33" hidden="1" customWidth="1"/>
    <col min="63" max="63" width="11.42578125" hidden="1" customWidth="1"/>
    <col min="64" max="64" width="1.140625" hidden="1" customWidth="1"/>
    <col min="65" max="65" width="32.5703125" hidden="1" customWidth="1"/>
    <col min="66" max="66" width="9.7109375" hidden="1" customWidth="1"/>
    <col min="67" max="67" width="26.28515625" customWidth="1"/>
    <col min="68" max="68" width="13.140625" customWidth="1"/>
    <col min="69" max="69" width="2.5703125" customWidth="1"/>
    <col min="70" max="70" width="24.42578125" hidden="1" customWidth="1"/>
    <col min="71" max="71" width="0" hidden="1" customWidth="1"/>
    <col min="72" max="72" width="1.140625" hidden="1" customWidth="1"/>
    <col min="73" max="73" width="33" customWidth="1"/>
    <col min="74" max="74" width="11.42578125" customWidth="1"/>
    <col min="75" max="75" width="2.5703125" customWidth="1"/>
    <col min="76" max="77" width="21.28515625" customWidth="1"/>
    <col min="78" max="78" width="2.5703125" customWidth="1"/>
    <col min="79" max="79" width="30.7109375" customWidth="1"/>
    <col min="80" max="80" width="21.28515625" customWidth="1"/>
    <col min="81" max="81" width="2.5703125" customWidth="1"/>
    <col min="82" max="83" width="21.28515625" customWidth="1"/>
  </cols>
  <sheetData>
    <row r="1" spans="1:83" ht="93" thickBot="1" x14ac:dyDescent="0.45">
      <c r="A1" s="64" t="s">
        <v>37</v>
      </c>
      <c r="B1" s="1"/>
      <c r="D1" s="1"/>
      <c r="H1" s="1"/>
    </row>
    <row r="2" spans="1:83" ht="15.75" thickBot="1" x14ac:dyDescent="0.3">
      <c r="B2" s="3"/>
      <c r="C2" s="67" t="s">
        <v>46</v>
      </c>
      <c r="D2" s="68"/>
      <c r="E2" s="69"/>
      <c r="G2" s="67" t="s">
        <v>47</v>
      </c>
      <c r="H2" s="68"/>
      <c r="I2" s="69"/>
      <c r="K2" s="67" t="s">
        <v>48</v>
      </c>
      <c r="L2" s="68"/>
      <c r="M2" s="69"/>
      <c r="O2" s="67" t="s">
        <v>49</v>
      </c>
      <c r="P2" s="68"/>
      <c r="Q2" s="69"/>
      <c r="S2" s="67" t="s">
        <v>50</v>
      </c>
      <c r="T2" s="68"/>
      <c r="U2" s="69"/>
      <c r="W2" s="67" t="s">
        <v>51</v>
      </c>
      <c r="X2" s="68"/>
      <c r="Y2" s="69"/>
      <c r="AA2" s="67" t="s">
        <v>52</v>
      </c>
      <c r="AB2" s="68"/>
      <c r="AC2" s="69"/>
      <c r="AE2" s="67" t="s">
        <v>53</v>
      </c>
      <c r="AF2" s="68"/>
      <c r="AG2" s="69"/>
      <c r="AI2" s="4"/>
      <c r="AJ2" s="5"/>
      <c r="AL2" s="67" t="s">
        <v>54</v>
      </c>
      <c r="AM2" s="68"/>
      <c r="AO2" s="67" t="s">
        <v>55</v>
      </c>
      <c r="AP2" s="68"/>
      <c r="AR2" s="67" t="s">
        <v>56</v>
      </c>
      <c r="AS2" s="68"/>
      <c r="AU2" s="67" t="s">
        <v>57</v>
      </c>
      <c r="AV2" s="69"/>
      <c r="AX2" s="67" t="s">
        <v>58</v>
      </c>
      <c r="AY2" s="69"/>
      <c r="BA2" s="4"/>
      <c r="BB2" s="5"/>
      <c r="BD2" s="4" t="s">
        <v>0</v>
      </c>
      <c r="BE2" s="5"/>
      <c r="BG2" s="4" t="s">
        <v>1</v>
      </c>
      <c r="BH2" s="5"/>
      <c r="BJ2" s="4" t="s">
        <v>2</v>
      </c>
      <c r="BK2" s="5"/>
      <c r="BM2" s="4" t="s">
        <v>3</v>
      </c>
      <c r="BN2" s="5"/>
      <c r="BO2" s="67" t="s">
        <v>59</v>
      </c>
      <c r="BP2" s="69"/>
      <c r="BU2" s="67" t="s">
        <v>61</v>
      </c>
      <c r="BV2" s="69"/>
      <c r="BX2" s="67" t="s">
        <v>62</v>
      </c>
      <c r="BY2" s="69"/>
      <c r="CA2" s="67" t="s">
        <v>63</v>
      </c>
      <c r="CB2" s="69"/>
      <c r="CD2" s="67" t="s">
        <v>64</v>
      </c>
      <c r="CE2" s="69"/>
    </row>
    <row r="3" spans="1:83" ht="15" customHeight="1" x14ac:dyDescent="0.25">
      <c r="A3" s="56"/>
      <c r="B3" s="6"/>
      <c r="C3" s="6" t="s">
        <v>4</v>
      </c>
      <c r="D3" s="7" t="s">
        <v>5</v>
      </c>
      <c r="E3" s="8" t="s">
        <v>6</v>
      </c>
      <c r="G3" s="6" t="s">
        <v>4</v>
      </c>
      <c r="H3" s="7" t="s">
        <v>5</v>
      </c>
      <c r="I3" s="8" t="s">
        <v>6</v>
      </c>
      <c r="K3" s="6" t="s">
        <v>4</v>
      </c>
      <c r="L3" s="7" t="s">
        <v>5</v>
      </c>
      <c r="M3" s="8" t="s">
        <v>6</v>
      </c>
      <c r="O3" s="6" t="s">
        <v>4</v>
      </c>
      <c r="P3" s="7" t="s">
        <v>5</v>
      </c>
      <c r="Q3" s="8" t="s">
        <v>6</v>
      </c>
      <c r="S3" s="6" t="s">
        <v>4</v>
      </c>
      <c r="T3" s="7" t="s">
        <v>5</v>
      </c>
      <c r="U3" s="8" t="s">
        <v>6</v>
      </c>
      <c r="W3" s="6" t="s">
        <v>4</v>
      </c>
      <c r="X3" s="7" t="s">
        <v>5</v>
      </c>
      <c r="Y3" s="8" t="s">
        <v>6</v>
      </c>
      <c r="AA3" s="6" t="s">
        <v>4</v>
      </c>
      <c r="AB3" s="7" t="s">
        <v>5</v>
      </c>
      <c r="AC3" s="8" t="s">
        <v>6</v>
      </c>
      <c r="AE3" s="6" t="s">
        <v>4</v>
      </c>
      <c r="AF3" s="7" t="s">
        <v>5</v>
      </c>
      <c r="AG3" s="8" t="s">
        <v>6</v>
      </c>
      <c r="AI3" s="6"/>
      <c r="AJ3" s="8"/>
      <c r="AL3" s="6"/>
      <c r="AM3" s="8"/>
      <c r="AO3" s="6"/>
      <c r="AP3" s="8"/>
      <c r="AR3" s="6"/>
      <c r="AS3" s="8"/>
      <c r="AU3" s="75" t="s">
        <v>7</v>
      </c>
      <c r="AV3" s="76"/>
      <c r="AX3" s="75" t="s">
        <v>65</v>
      </c>
      <c r="AY3" s="76"/>
      <c r="BA3" s="71" t="s">
        <v>7</v>
      </c>
      <c r="BB3" s="72"/>
      <c r="BD3" s="71" t="s">
        <v>7</v>
      </c>
      <c r="BE3" s="72"/>
      <c r="BG3" s="71" t="s">
        <v>7</v>
      </c>
      <c r="BH3" s="72"/>
      <c r="BJ3" s="71" t="s">
        <v>7</v>
      </c>
      <c r="BK3" s="72"/>
      <c r="BM3" s="71" t="s">
        <v>7</v>
      </c>
      <c r="BN3" s="72"/>
      <c r="BO3" s="75" t="s">
        <v>65</v>
      </c>
      <c r="BP3" s="76"/>
      <c r="BU3" s="75" t="s">
        <v>65</v>
      </c>
      <c r="BV3" s="76"/>
      <c r="BX3" s="6"/>
      <c r="BY3" s="8"/>
      <c r="CA3" s="6"/>
      <c r="CB3" s="8"/>
      <c r="CD3" s="6"/>
      <c r="CE3" s="8"/>
    </row>
    <row r="4" spans="1:83" s="9" customFormat="1" ht="15" x14ac:dyDescent="0.25">
      <c r="A4" s="56"/>
      <c r="B4" s="65" t="s">
        <v>34</v>
      </c>
      <c r="C4" s="10">
        <v>0.45</v>
      </c>
      <c r="D4" s="11">
        <v>0.35</v>
      </c>
      <c r="E4" s="12">
        <v>0.2</v>
      </c>
      <c r="G4" s="10">
        <v>0.25</v>
      </c>
      <c r="H4" s="11">
        <v>0.45</v>
      </c>
      <c r="I4" s="12">
        <v>0.3</v>
      </c>
      <c r="J4" s="13"/>
      <c r="K4" s="10">
        <v>0.15</v>
      </c>
      <c r="L4" s="11">
        <v>0.55000000000000004</v>
      </c>
      <c r="M4" s="12">
        <v>0.3</v>
      </c>
      <c r="O4" s="10">
        <v>0.15</v>
      </c>
      <c r="P4" s="11">
        <v>0.85</v>
      </c>
      <c r="Q4" s="12">
        <v>0</v>
      </c>
      <c r="S4" s="10">
        <v>0.1</v>
      </c>
      <c r="T4" s="11">
        <v>0.9</v>
      </c>
      <c r="U4" s="12">
        <v>0</v>
      </c>
      <c r="W4" s="10">
        <v>0.1</v>
      </c>
      <c r="X4" s="11">
        <v>0.9</v>
      </c>
      <c r="Y4" s="12">
        <v>0</v>
      </c>
      <c r="AA4" s="10">
        <v>0.1</v>
      </c>
      <c r="AB4" s="11">
        <v>0.9</v>
      </c>
      <c r="AC4" s="12">
        <v>0</v>
      </c>
      <c r="AE4" s="10">
        <v>0.15</v>
      </c>
      <c r="AF4" s="11">
        <v>0.85</v>
      </c>
      <c r="AG4" s="12">
        <v>0</v>
      </c>
      <c r="AI4" s="10"/>
      <c r="AJ4" s="12"/>
      <c r="AL4" s="10"/>
      <c r="AM4" s="12"/>
      <c r="AO4" s="10"/>
      <c r="AP4" s="12"/>
      <c r="AR4" s="10"/>
      <c r="AS4" s="12"/>
      <c r="AU4" s="75"/>
      <c r="AV4" s="76"/>
      <c r="AX4" s="75"/>
      <c r="AY4" s="76"/>
      <c r="BA4" s="73"/>
      <c r="BB4" s="74"/>
      <c r="BD4" s="73"/>
      <c r="BE4" s="74"/>
      <c r="BG4" s="73"/>
      <c r="BH4" s="74"/>
      <c r="BJ4" s="73"/>
      <c r="BK4" s="74"/>
      <c r="BM4" s="73"/>
      <c r="BN4" s="74"/>
      <c r="BO4" s="75"/>
      <c r="BP4" s="76"/>
      <c r="BU4" s="75"/>
      <c r="BV4" s="76"/>
      <c r="BX4" s="10"/>
      <c r="BY4" s="12"/>
      <c r="CA4" s="10"/>
      <c r="CB4" s="12"/>
      <c r="CD4" s="10"/>
      <c r="CE4" s="12"/>
    </row>
    <row r="5" spans="1:83" ht="15" customHeight="1" x14ac:dyDescent="0.25">
      <c r="A5" s="56"/>
      <c r="B5" s="14"/>
      <c r="C5" s="15"/>
      <c r="D5" s="3"/>
      <c r="E5" s="16"/>
      <c r="G5" s="15"/>
      <c r="H5" s="3"/>
      <c r="I5" s="16"/>
      <c r="K5" s="15"/>
      <c r="L5" s="3"/>
      <c r="M5" s="16"/>
      <c r="O5" s="15"/>
      <c r="P5" s="3"/>
      <c r="Q5" s="16"/>
      <c r="S5" s="15"/>
      <c r="T5" s="3"/>
      <c r="U5" s="16"/>
      <c r="W5" s="15"/>
      <c r="X5" s="3"/>
      <c r="Y5" s="16"/>
      <c r="AA5" s="15"/>
      <c r="AB5" s="3"/>
      <c r="AC5" s="16"/>
      <c r="AE5" s="15"/>
      <c r="AF5" s="3"/>
      <c r="AG5" s="16"/>
      <c r="AI5" s="15"/>
      <c r="AJ5" s="16"/>
      <c r="AL5" s="77"/>
      <c r="AM5" s="16"/>
      <c r="AO5" s="77"/>
      <c r="AP5" s="16"/>
      <c r="AR5" s="77"/>
      <c r="AS5" s="16"/>
      <c r="AU5" s="77"/>
      <c r="AV5" s="16"/>
      <c r="AX5" s="70"/>
      <c r="AY5" s="16"/>
      <c r="BA5" s="70"/>
      <c r="BB5" s="16"/>
      <c r="BD5" s="70"/>
      <c r="BE5" s="16"/>
      <c r="BG5" s="70"/>
      <c r="BH5" s="16"/>
      <c r="BJ5" s="70"/>
      <c r="BK5" s="16"/>
      <c r="BM5" s="70"/>
      <c r="BN5" s="16"/>
      <c r="BO5" s="70"/>
      <c r="BP5" s="16"/>
      <c r="BU5" s="70"/>
      <c r="BV5" s="16"/>
      <c r="BX5" s="77"/>
      <c r="BY5" s="16"/>
      <c r="CA5" s="15"/>
      <c r="CB5" s="16"/>
      <c r="CD5" s="77"/>
      <c r="CE5" s="16"/>
    </row>
    <row r="6" spans="1:83" ht="15" x14ac:dyDescent="0.25">
      <c r="A6" s="57"/>
      <c r="B6" s="14" t="s">
        <v>8</v>
      </c>
      <c r="C6" s="17">
        <f>$A$25</f>
        <v>41385.599999999999</v>
      </c>
      <c r="D6" s="18">
        <f>$A$26</f>
        <v>54496.800000000003</v>
      </c>
      <c r="E6" s="19">
        <f>$A$28</f>
        <v>103464</v>
      </c>
      <c r="G6" s="17">
        <f>$A$25</f>
        <v>41385.599999999999</v>
      </c>
      <c r="H6" s="18">
        <f>A26</f>
        <v>54496.800000000003</v>
      </c>
      <c r="I6" s="19">
        <f>$A$28</f>
        <v>103464</v>
      </c>
      <c r="K6" s="17">
        <f>$A$25</f>
        <v>41385.599999999999</v>
      </c>
      <c r="L6" s="18">
        <f>$A26</f>
        <v>54496.800000000003</v>
      </c>
      <c r="M6" s="19">
        <f>$A$28</f>
        <v>103464</v>
      </c>
      <c r="O6" s="17">
        <f>$A$25</f>
        <v>41385.599999999999</v>
      </c>
      <c r="P6" s="18">
        <f>$A$26</f>
        <v>54496.800000000003</v>
      </c>
      <c r="Q6" s="19">
        <f>$A$28</f>
        <v>103464</v>
      </c>
      <c r="S6" s="17">
        <f>$A$25</f>
        <v>41385.599999999999</v>
      </c>
      <c r="T6" s="18">
        <f>$A$26</f>
        <v>54496.800000000003</v>
      </c>
      <c r="U6" s="19">
        <f>$A$28</f>
        <v>103464</v>
      </c>
      <c r="W6" s="17">
        <f>$A$25</f>
        <v>41385.599999999999</v>
      </c>
      <c r="X6" s="18">
        <f>$A$26</f>
        <v>54496.800000000003</v>
      </c>
      <c r="Y6" s="19">
        <f>$A$28</f>
        <v>103464</v>
      </c>
      <c r="AA6" s="17">
        <f>$A$25</f>
        <v>41385.599999999999</v>
      </c>
      <c r="AB6" s="18">
        <f>$A$26</f>
        <v>54496.800000000003</v>
      </c>
      <c r="AC6" s="19">
        <f>$A$28</f>
        <v>103464</v>
      </c>
      <c r="AE6" s="17">
        <f>$A$25</f>
        <v>41385.599999999999</v>
      </c>
      <c r="AF6" s="18">
        <f>$A$26</f>
        <v>54496.800000000003</v>
      </c>
      <c r="AG6" s="19">
        <f>$A$28</f>
        <v>103464</v>
      </c>
      <c r="AI6" s="17"/>
      <c r="AJ6" s="19"/>
      <c r="AL6" s="77"/>
      <c r="AM6" s="19"/>
      <c r="AO6" s="77"/>
      <c r="AP6" s="19"/>
      <c r="AR6" s="77"/>
      <c r="AS6" s="19"/>
      <c r="AU6" s="77"/>
      <c r="AV6" s="19"/>
      <c r="AX6" s="70"/>
      <c r="AY6" s="20"/>
      <c r="BA6" s="70"/>
      <c r="BB6" s="20"/>
      <c r="BD6" s="70"/>
      <c r="BE6" s="20"/>
      <c r="BG6" s="70"/>
      <c r="BH6" s="20"/>
      <c r="BJ6" s="70"/>
      <c r="BK6" s="20"/>
      <c r="BM6" s="70"/>
      <c r="BN6" s="20"/>
      <c r="BO6" s="70"/>
      <c r="BP6" s="20"/>
      <c r="BU6" s="70"/>
      <c r="BV6" s="20"/>
      <c r="BX6" s="77"/>
      <c r="BY6" s="19"/>
      <c r="CA6" s="17"/>
      <c r="CB6" s="19"/>
      <c r="CD6" s="77"/>
      <c r="CE6" s="19"/>
    </row>
    <row r="7" spans="1:83" ht="15" customHeight="1" x14ac:dyDescent="0.25">
      <c r="A7" s="58">
        <v>0.08</v>
      </c>
      <c r="B7" s="14" t="s">
        <v>9</v>
      </c>
      <c r="C7" s="17">
        <f>C$6*$A7</f>
        <v>3310.848</v>
      </c>
      <c r="D7" s="18">
        <f t="shared" ref="D7:E8" si="0">D$6*$A7</f>
        <v>4359.7440000000006</v>
      </c>
      <c r="E7" s="19">
        <f t="shared" si="0"/>
        <v>8277.1200000000008</v>
      </c>
      <c r="G7" s="17">
        <f>G$6*$A7</f>
        <v>3310.848</v>
      </c>
      <c r="H7" s="18">
        <f t="shared" ref="H7:I8" si="1">H$6*$A7</f>
        <v>4359.7440000000006</v>
      </c>
      <c r="I7" s="19">
        <f t="shared" si="1"/>
        <v>8277.1200000000008</v>
      </c>
      <c r="K7" s="17">
        <f>K$6*$A7</f>
        <v>3310.848</v>
      </c>
      <c r="L7" s="18">
        <f>L$6*$A7</f>
        <v>4359.7440000000006</v>
      </c>
      <c r="M7" s="19">
        <f t="shared" ref="M7:M8" si="2">M$6*$A7</f>
        <v>8277.1200000000008</v>
      </c>
      <c r="O7" s="17">
        <f>O$6*$A7</f>
        <v>3310.848</v>
      </c>
      <c r="P7" s="18">
        <f t="shared" ref="P7:Q8" si="3">P$6*$A7</f>
        <v>4359.7440000000006</v>
      </c>
      <c r="Q7" s="19">
        <f t="shared" si="3"/>
        <v>8277.1200000000008</v>
      </c>
      <c r="S7" s="17">
        <f>S$6*$A7</f>
        <v>3310.848</v>
      </c>
      <c r="T7" s="18">
        <f t="shared" ref="T7:U8" si="4">T$6*$A7</f>
        <v>4359.7440000000006</v>
      </c>
      <c r="U7" s="19">
        <f t="shared" si="4"/>
        <v>8277.1200000000008</v>
      </c>
      <c r="W7" s="17">
        <f>W$6*$A7</f>
        <v>3310.848</v>
      </c>
      <c r="X7" s="18">
        <f t="shared" ref="X7:Y8" si="5">X$6*$A7</f>
        <v>4359.7440000000006</v>
      </c>
      <c r="Y7" s="19">
        <f t="shared" si="5"/>
        <v>8277.1200000000008</v>
      </c>
      <c r="AA7" s="17">
        <f>AA$6*$A7</f>
        <v>3310.848</v>
      </c>
      <c r="AB7" s="18">
        <f t="shared" ref="AB7:AC8" si="6">AB$6*$A7</f>
        <v>4359.7440000000006</v>
      </c>
      <c r="AC7" s="19">
        <f t="shared" si="6"/>
        <v>8277.1200000000008</v>
      </c>
      <c r="AE7" s="17">
        <f>AE$6*$A7</f>
        <v>3310.848</v>
      </c>
      <c r="AF7" s="18">
        <f t="shared" ref="AF7:AG8" si="7">AF$6*$A7</f>
        <v>4359.7440000000006</v>
      </c>
      <c r="AG7" s="19">
        <f t="shared" si="7"/>
        <v>8277.1200000000008</v>
      </c>
      <c r="AI7" s="17"/>
      <c r="AJ7" s="19"/>
      <c r="AL7" s="78" t="str">
        <f>+G2</f>
        <v>54003 - JGGZ Behandeling hoog-specialistisch</v>
      </c>
      <c r="AM7" s="19">
        <f>+H21</f>
        <v>116.39999999999999</v>
      </c>
      <c r="AO7" s="78" t="str">
        <f>G2</f>
        <v>54003 - JGGZ Behandeling hoog-specialistisch</v>
      </c>
      <c r="AP7" s="19">
        <f>+H21</f>
        <v>116.39999999999999</v>
      </c>
      <c r="AR7" s="17" t="s">
        <v>39</v>
      </c>
      <c r="AS7" s="19">
        <f>E16</f>
        <v>176.14978520698867</v>
      </c>
      <c r="AU7" s="17"/>
      <c r="AV7" s="19"/>
      <c r="AX7" s="79" t="s">
        <v>60</v>
      </c>
      <c r="AY7" s="19"/>
      <c r="BA7" s="79" t="s">
        <v>10</v>
      </c>
      <c r="BB7" s="19"/>
      <c r="BD7" s="79" t="s">
        <v>11</v>
      </c>
      <c r="BE7" s="19"/>
      <c r="BG7" s="79" t="s">
        <v>12</v>
      </c>
      <c r="BH7" s="19"/>
      <c r="BJ7" s="79" t="s">
        <v>13</v>
      </c>
      <c r="BK7" s="19"/>
      <c r="BM7" s="79" t="s">
        <v>14</v>
      </c>
      <c r="BN7" s="19"/>
      <c r="BO7" s="79" t="s">
        <v>45</v>
      </c>
      <c r="BP7" s="19"/>
      <c r="BU7" s="79"/>
      <c r="BV7" s="19"/>
      <c r="BX7" s="17" t="str">
        <f>W2</f>
        <v>51A03 - GBGGZ Intensief</v>
      </c>
      <c r="BY7" s="19">
        <f>W21</f>
        <v>1026.8651178736745</v>
      </c>
      <c r="CA7" s="17" t="str">
        <f>C2</f>
        <v>54002 - JGGZ Behandeling specialistisch</v>
      </c>
      <c r="CB7" s="19">
        <f>C21</f>
        <v>99.561303599087978</v>
      </c>
      <c r="CD7" s="17" t="s">
        <v>44</v>
      </c>
      <c r="CE7" s="19">
        <f>E16</f>
        <v>176.14978520698867</v>
      </c>
    </row>
    <row r="8" spans="1:83" ht="15" x14ac:dyDescent="0.25">
      <c r="A8" s="58">
        <v>8.3299999999999999E-2</v>
      </c>
      <c r="B8" s="14" t="s">
        <v>15</v>
      </c>
      <c r="C8" s="17">
        <f t="shared" ref="C8:G8" si="8">C$6*$A8</f>
        <v>3447.4204799999998</v>
      </c>
      <c r="D8" s="18">
        <f t="shared" si="0"/>
        <v>4539.5834400000003</v>
      </c>
      <c r="E8" s="19">
        <f t="shared" si="0"/>
        <v>8618.5511999999999</v>
      </c>
      <c r="G8" s="17">
        <f t="shared" si="8"/>
        <v>3447.4204799999998</v>
      </c>
      <c r="H8" s="18">
        <f t="shared" si="1"/>
        <v>4539.5834400000003</v>
      </c>
      <c r="I8" s="19">
        <f t="shared" si="1"/>
        <v>8618.5511999999999</v>
      </c>
      <c r="K8" s="17">
        <f t="shared" ref="K8:L8" si="9">K$6*$A8</f>
        <v>3447.4204799999998</v>
      </c>
      <c r="L8" s="18">
        <f t="shared" si="9"/>
        <v>4539.5834400000003</v>
      </c>
      <c r="M8" s="19">
        <f t="shared" si="2"/>
        <v>8618.5511999999999</v>
      </c>
      <c r="O8" s="17">
        <f t="shared" ref="O8" si="10">O$6*$A8</f>
        <v>3447.4204799999998</v>
      </c>
      <c r="P8" s="18">
        <f t="shared" si="3"/>
        <v>4539.5834400000003</v>
      </c>
      <c r="Q8" s="19">
        <f t="shared" si="3"/>
        <v>8618.5511999999999</v>
      </c>
      <c r="S8" s="17">
        <f t="shared" ref="S8" si="11">S$6*$A8</f>
        <v>3447.4204799999998</v>
      </c>
      <c r="T8" s="18">
        <f t="shared" si="4"/>
        <v>4539.5834400000003</v>
      </c>
      <c r="U8" s="19">
        <f t="shared" si="4"/>
        <v>8618.5511999999999</v>
      </c>
      <c r="W8" s="17">
        <f t="shared" ref="W8" si="12">W$6*$A8</f>
        <v>3447.4204799999998</v>
      </c>
      <c r="X8" s="18">
        <f t="shared" si="5"/>
        <v>4539.5834400000003</v>
      </c>
      <c r="Y8" s="19">
        <f t="shared" si="5"/>
        <v>8618.5511999999999</v>
      </c>
      <c r="AA8" s="17">
        <f t="shared" ref="AA8" si="13">AA$6*$A8</f>
        <v>3447.4204799999998</v>
      </c>
      <c r="AB8" s="18">
        <f t="shared" si="6"/>
        <v>4539.5834400000003</v>
      </c>
      <c r="AC8" s="19">
        <f t="shared" si="6"/>
        <v>8618.5511999999999</v>
      </c>
      <c r="AE8" s="17">
        <f t="shared" ref="AE8" si="14">AE$6*$A8</f>
        <v>3447.4204799999998</v>
      </c>
      <c r="AF8" s="18">
        <f t="shared" si="7"/>
        <v>4539.5834400000003</v>
      </c>
      <c r="AG8" s="19">
        <f t="shared" si="7"/>
        <v>8618.5511999999999</v>
      </c>
      <c r="AI8" s="17"/>
      <c r="AJ8" s="19"/>
      <c r="AL8" s="78"/>
      <c r="AM8" s="19"/>
      <c r="AO8" s="78"/>
      <c r="AP8" s="19"/>
      <c r="AR8" s="21"/>
      <c r="AS8" s="19"/>
      <c r="AU8" s="17"/>
      <c r="AV8" s="19"/>
      <c r="AX8" s="79"/>
      <c r="AY8" s="22">
        <f>(354.54 + 397.38)/2</f>
        <v>375.96000000000004</v>
      </c>
      <c r="BA8" s="79"/>
      <c r="BB8" s="22">
        <v>193.53</v>
      </c>
      <c r="BD8" s="79"/>
      <c r="BE8" s="22">
        <v>269.5</v>
      </c>
      <c r="BG8" s="79"/>
      <c r="BH8" s="22">
        <v>283.36</v>
      </c>
      <c r="BJ8" s="79"/>
      <c r="BK8" s="22">
        <v>354.54</v>
      </c>
      <c r="BM8" s="79"/>
      <c r="BN8" s="22">
        <v>397.38</v>
      </c>
      <c r="BO8" s="79"/>
      <c r="BP8" s="22">
        <v>553.13</v>
      </c>
      <c r="BU8" s="79"/>
      <c r="BV8" s="22">
        <v>120.39</v>
      </c>
      <c r="BX8" s="17" t="s">
        <v>16</v>
      </c>
      <c r="BY8" s="19">
        <f>BY7/W19</f>
        <v>1.3691534904982328</v>
      </c>
      <c r="CA8" s="17" t="s">
        <v>16</v>
      </c>
      <c r="CB8" s="19">
        <f>CB7/60</f>
        <v>1.6593550599847997</v>
      </c>
      <c r="CD8" s="17" t="s">
        <v>16</v>
      </c>
      <c r="CE8" s="19">
        <f>CE7/60</f>
        <v>2.935829753449811</v>
      </c>
    </row>
    <row r="9" spans="1:83" ht="17.25" customHeight="1" x14ac:dyDescent="0.4">
      <c r="A9" s="58">
        <v>1</v>
      </c>
      <c r="B9" s="23" t="s">
        <v>8</v>
      </c>
      <c r="C9" s="24">
        <f>SUM(C6:C8)</f>
        <v>48143.868479999997</v>
      </c>
      <c r="D9" s="25">
        <f>SUM(D6:D8)</f>
        <v>63396.127440000004</v>
      </c>
      <c r="E9" s="26">
        <f t="shared" ref="E9" si="15">SUM(E6:E8)</f>
        <v>120359.6712</v>
      </c>
      <c r="G9" s="24">
        <f>SUM(G6:G8)</f>
        <v>48143.868479999997</v>
      </c>
      <c r="H9" s="25">
        <f t="shared" ref="H9:I9" si="16">SUM(H6:H8)</f>
        <v>63396.127440000004</v>
      </c>
      <c r="I9" s="26">
        <f t="shared" si="16"/>
        <v>120359.6712</v>
      </c>
      <c r="K9" s="24">
        <f>SUM(K6:K8)</f>
        <v>48143.868479999997</v>
      </c>
      <c r="L9" s="25">
        <f t="shared" ref="L9:M9" si="17">SUM(L6:L8)</f>
        <v>63396.127440000004</v>
      </c>
      <c r="M9" s="26">
        <f t="shared" si="17"/>
        <v>120359.6712</v>
      </c>
      <c r="O9" s="24">
        <f>SUM(O6:O8)</f>
        <v>48143.868479999997</v>
      </c>
      <c r="P9" s="25">
        <f t="shared" ref="P9:Q9" si="18">SUM(P6:P8)</f>
        <v>63396.127440000004</v>
      </c>
      <c r="Q9" s="26">
        <f t="shared" si="18"/>
        <v>120359.6712</v>
      </c>
      <c r="S9" s="24">
        <f>SUM(S6:S8)</f>
        <v>48143.868479999997</v>
      </c>
      <c r="T9" s="25">
        <f t="shared" ref="T9:U9" si="19">SUM(T6:T8)</f>
        <v>63396.127440000004</v>
      </c>
      <c r="U9" s="26">
        <f t="shared" si="19"/>
        <v>120359.6712</v>
      </c>
      <c r="W9" s="24">
        <f>SUM(W6:W8)</f>
        <v>48143.868479999997</v>
      </c>
      <c r="X9" s="25">
        <f t="shared" ref="X9:Y9" si="20">SUM(X6:X8)</f>
        <v>63396.127440000004</v>
      </c>
      <c r="Y9" s="26">
        <f t="shared" si="20"/>
        <v>120359.6712</v>
      </c>
      <c r="AA9" s="24">
        <f>SUM(AA6:AA8)</f>
        <v>48143.868479999997</v>
      </c>
      <c r="AB9" s="25">
        <f t="shared" ref="AB9:AC9" si="21">SUM(AB6:AB8)</f>
        <v>63396.127440000004</v>
      </c>
      <c r="AC9" s="26">
        <f t="shared" si="21"/>
        <v>120359.6712</v>
      </c>
      <c r="AE9" s="24">
        <f>SUM(AE6:AE8)</f>
        <v>48143.868479999997</v>
      </c>
      <c r="AF9" s="25">
        <f t="shared" ref="AF9:AG9" si="22">SUM(AF6:AF8)</f>
        <v>63396.127440000004</v>
      </c>
      <c r="AG9" s="26">
        <f t="shared" si="22"/>
        <v>120359.6712</v>
      </c>
      <c r="AI9" s="75"/>
      <c r="AJ9" s="76"/>
      <c r="AL9" s="27"/>
      <c r="AM9" s="28"/>
      <c r="AO9" s="27"/>
      <c r="AP9" s="28"/>
      <c r="AR9" s="27"/>
      <c r="AS9" s="28"/>
      <c r="AU9" s="17"/>
      <c r="AV9" s="19"/>
      <c r="AX9" s="15"/>
      <c r="AY9" s="20"/>
      <c r="BA9" s="15"/>
      <c r="BB9" s="20"/>
      <c r="BD9" s="15"/>
      <c r="BE9" s="20"/>
      <c r="BG9" s="15"/>
      <c r="BH9" s="20"/>
      <c r="BJ9" s="15"/>
      <c r="BK9" s="20"/>
      <c r="BM9" s="15"/>
      <c r="BN9" s="20"/>
      <c r="BO9" s="15"/>
      <c r="BP9" s="20"/>
      <c r="BU9" s="15"/>
      <c r="BV9" s="20"/>
      <c r="BX9" s="75"/>
      <c r="BY9" s="76"/>
      <c r="CA9" s="75"/>
      <c r="CB9" s="76"/>
      <c r="CD9" s="75"/>
      <c r="CE9" s="76"/>
    </row>
    <row r="10" spans="1:83" ht="15.75" thickBot="1" x14ac:dyDescent="0.3">
      <c r="A10" s="58">
        <v>0.26640000000000003</v>
      </c>
      <c r="B10" s="14" t="s">
        <v>17</v>
      </c>
      <c r="C10" s="17">
        <f>C$9*$A10</f>
        <v>12825.526563072</v>
      </c>
      <c r="D10" s="18">
        <f t="shared" ref="D10:E11" si="23">D$9*$A10</f>
        <v>16888.728350016001</v>
      </c>
      <c r="E10" s="19">
        <f t="shared" si="23"/>
        <v>32063.816407680002</v>
      </c>
      <c r="G10" s="17">
        <f>G$9*$A10</f>
        <v>12825.526563072</v>
      </c>
      <c r="H10" s="18">
        <f t="shared" ref="H10:I10" si="24">H$9*$A10</f>
        <v>16888.728350016001</v>
      </c>
      <c r="I10" s="19">
        <f t="shared" si="24"/>
        <v>32063.816407680002</v>
      </c>
      <c r="K10" s="17">
        <f t="shared" ref="K10:M11" si="25">K$9*$A10</f>
        <v>12825.526563072</v>
      </c>
      <c r="L10" s="18">
        <f t="shared" si="25"/>
        <v>16888.728350016001</v>
      </c>
      <c r="M10" s="19">
        <f t="shared" si="25"/>
        <v>32063.816407680002</v>
      </c>
      <c r="O10" s="17">
        <f t="shared" ref="O10:AC10" si="26">O$9*$A10</f>
        <v>12825.526563072</v>
      </c>
      <c r="P10" s="18">
        <f t="shared" si="26"/>
        <v>16888.728350016001</v>
      </c>
      <c r="Q10" s="19">
        <f t="shared" si="26"/>
        <v>32063.816407680002</v>
      </c>
      <c r="S10" s="17">
        <f t="shared" si="26"/>
        <v>12825.526563072</v>
      </c>
      <c r="T10" s="18">
        <f t="shared" si="26"/>
        <v>16888.728350016001</v>
      </c>
      <c r="U10" s="19">
        <f t="shared" si="26"/>
        <v>32063.816407680002</v>
      </c>
      <c r="W10" s="17">
        <f t="shared" si="26"/>
        <v>12825.526563072</v>
      </c>
      <c r="X10" s="18">
        <f t="shared" si="26"/>
        <v>16888.728350016001</v>
      </c>
      <c r="Y10" s="19">
        <f t="shared" si="26"/>
        <v>32063.816407680002</v>
      </c>
      <c r="AA10" s="17">
        <f t="shared" si="26"/>
        <v>12825.526563072</v>
      </c>
      <c r="AB10" s="18">
        <f t="shared" si="26"/>
        <v>16888.728350016001</v>
      </c>
      <c r="AC10" s="19">
        <f t="shared" si="26"/>
        <v>32063.816407680002</v>
      </c>
      <c r="AE10" s="17">
        <f t="shared" ref="AE10:AG10" si="27">AE$9*$A10</f>
        <v>12825.526563072</v>
      </c>
      <c r="AF10" s="18">
        <f t="shared" si="27"/>
        <v>16888.728350016001</v>
      </c>
      <c r="AG10" s="19">
        <f t="shared" si="27"/>
        <v>32063.816407680002</v>
      </c>
      <c r="AI10" s="75"/>
      <c r="AJ10" s="76"/>
      <c r="AL10" s="17" t="s">
        <v>16</v>
      </c>
      <c r="AM10" s="19">
        <f>AM7/60</f>
        <v>1.94</v>
      </c>
      <c r="AO10" s="17" t="s">
        <v>16</v>
      </c>
      <c r="AP10" s="19">
        <f>AP7/60</f>
        <v>1.94</v>
      </c>
      <c r="AR10" s="17" t="s">
        <v>16</v>
      </c>
      <c r="AS10" s="19">
        <f>AS7/60</f>
        <v>2.935829753449811</v>
      </c>
      <c r="AU10" s="17"/>
      <c r="AV10" s="19"/>
      <c r="AX10" s="15"/>
      <c r="AY10" s="20"/>
      <c r="BA10" s="15"/>
      <c r="BB10" s="20"/>
      <c r="BD10" s="15"/>
      <c r="BE10" s="20"/>
      <c r="BG10" s="15"/>
      <c r="BH10" s="20"/>
      <c r="BJ10" s="15"/>
      <c r="BK10" s="20"/>
      <c r="BM10" s="15"/>
      <c r="BN10" s="20"/>
      <c r="BO10" s="15"/>
      <c r="BP10" s="20"/>
      <c r="BU10" s="15"/>
      <c r="BV10" s="20"/>
      <c r="BX10" s="75"/>
      <c r="BY10" s="76"/>
      <c r="CA10" s="75"/>
      <c r="CB10" s="76"/>
      <c r="CD10" s="75"/>
      <c r="CE10" s="76"/>
    </row>
    <row r="11" spans="1:83" ht="15" x14ac:dyDescent="0.25">
      <c r="A11" s="59">
        <f>47%*1.2664</f>
        <v>0.59520799999999996</v>
      </c>
      <c r="B11" s="14" t="s">
        <v>18</v>
      </c>
      <c r="C11" s="29">
        <f>C$9*$A11</f>
        <v>28655.615670243835</v>
      </c>
      <c r="D11" s="30">
        <f t="shared" si="23"/>
        <v>37733.882221307518</v>
      </c>
      <c r="E11" s="31">
        <f t="shared" si="23"/>
        <v>71639.039175609592</v>
      </c>
      <c r="G11" s="29">
        <f>G$9*$A11</f>
        <v>28655.615670243835</v>
      </c>
      <c r="H11" s="30">
        <f>H$9*$A11</f>
        <v>37733.882221307518</v>
      </c>
      <c r="I11" s="31">
        <f>I$9*$A11</f>
        <v>71639.039175609592</v>
      </c>
      <c r="K11" s="29">
        <f t="shared" si="25"/>
        <v>28655.615670243835</v>
      </c>
      <c r="L11" s="30">
        <f t="shared" si="25"/>
        <v>37733.882221307518</v>
      </c>
      <c r="M11" s="31">
        <f t="shared" si="25"/>
        <v>71639.039175609592</v>
      </c>
      <c r="O11" s="29">
        <f>O$9*$A13</f>
        <v>21491.422889472</v>
      </c>
      <c r="P11" s="30">
        <f>P$9*$A13</f>
        <v>28300.031289216004</v>
      </c>
      <c r="Q11" s="31">
        <f>Q$9*$A13</f>
        <v>53728.55722368</v>
      </c>
      <c r="S11" s="29">
        <f>S$9*$A13</f>
        <v>21491.422889472</v>
      </c>
      <c r="T11" s="30">
        <f>T$9*$A13</f>
        <v>28300.031289216004</v>
      </c>
      <c r="U11" s="31">
        <f>U$9*$A13</f>
        <v>53728.55722368</v>
      </c>
      <c r="W11" s="29">
        <f>W$9*$A13</f>
        <v>21491.422889472</v>
      </c>
      <c r="X11" s="30">
        <f>X$9*$A13</f>
        <v>28300.031289216004</v>
      </c>
      <c r="Y11" s="31">
        <f>Y$9*$A13</f>
        <v>53728.55722368</v>
      </c>
      <c r="AA11" s="29">
        <f>AA$9*$A13</f>
        <v>21491.422889472</v>
      </c>
      <c r="AB11" s="30">
        <f>AB$9*$A13</f>
        <v>28300.031289216004</v>
      </c>
      <c r="AC11" s="31">
        <f>AC$9*$A13</f>
        <v>53728.55722368</v>
      </c>
      <c r="AE11" s="29">
        <f>AE$9*$A13</f>
        <v>21491.422889472</v>
      </c>
      <c r="AF11" s="30">
        <f>AF$9*$A13</f>
        <v>28300.031289216004</v>
      </c>
      <c r="AG11" s="31">
        <f>AG$9*$A13</f>
        <v>53728.55722368</v>
      </c>
      <c r="AI11" s="29"/>
      <c r="AJ11" s="31"/>
      <c r="AL11" s="29"/>
      <c r="AM11" s="31"/>
      <c r="AO11" s="29"/>
      <c r="AP11" s="31"/>
      <c r="AR11" s="29"/>
      <c r="AS11" s="31"/>
      <c r="AU11" s="29"/>
      <c r="AV11" s="31"/>
      <c r="AX11" s="29"/>
      <c r="AY11" s="31"/>
      <c r="BA11" s="29"/>
      <c r="BB11" s="31"/>
      <c r="BD11" s="29"/>
      <c r="BE11" s="31"/>
      <c r="BG11" s="29"/>
      <c r="BH11" s="31"/>
      <c r="BJ11" s="29"/>
      <c r="BK11" s="31"/>
      <c r="BM11" s="29"/>
      <c r="BN11" s="31"/>
      <c r="BO11" s="29"/>
      <c r="BP11" s="31"/>
      <c r="BU11" s="29"/>
      <c r="BV11" s="31"/>
      <c r="BX11" s="29"/>
      <c r="BY11" s="31"/>
      <c r="CA11" s="29"/>
      <c r="CB11" s="31"/>
      <c r="CD11" s="29"/>
      <c r="CE11" s="31"/>
    </row>
    <row r="12" spans="1:83" ht="15.75" thickBot="1" x14ac:dyDescent="0.3">
      <c r="A12" s="60"/>
      <c r="B12" s="14" t="s">
        <v>38</v>
      </c>
      <c r="C12" s="29">
        <f>SUM(C9:C11)</f>
        <v>89625.010713315831</v>
      </c>
      <c r="D12" s="30">
        <f t="shared" ref="D12:E12" si="28">SUM(D9:D11)</f>
        <v>118018.73801132353</v>
      </c>
      <c r="E12" s="31">
        <f t="shared" si="28"/>
        <v>224062.52678328959</v>
      </c>
      <c r="G12" s="29">
        <f>SUM(G9:G11)</f>
        <v>89625.010713315831</v>
      </c>
      <c r="H12" s="30">
        <f t="shared" ref="H12:I12" si="29">SUM(H9:H11)</f>
        <v>118018.73801132353</v>
      </c>
      <c r="I12" s="31">
        <f t="shared" si="29"/>
        <v>224062.52678328959</v>
      </c>
      <c r="K12" s="29">
        <f>SUM(K9:K11)</f>
        <v>89625.010713315831</v>
      </c>
      <c r="L12" s="30">
        <f t="shared" ref="L12:M12" si="30">SUM(L9:L11)</f>
        <v>118018.73801132353</v>
      </c>
      <c r="M12" s="31">
        <f t="shared" si="30"/>
        <v>224062.52678328959</v>
      </c>
      <c r="O12" s="29">
        <f>SUM(O9:O11)</f>
        <v>82460.817932544</v>
      </c>
      <c r="P12" s="30">
        <f t="shared" ref="P12:Q12" si="31">SUM(P9:P11)</f>
        <v>108584.88707923201</v>
      </c>
      <c r="Q12" s="31">
        <f t="shared" si="31"/>
        <v>206152.04483135999</v>
      </c>
      <c r="S12" s="29">
        <f>SUM(S9:S11)</f>
        <v>82460.817932544</v>
      </c>
      <c r="T12" s="30">
        <f t="shared" ref="T12:U12" si="32">SUM(T9:T11)</f>
        <v>108584.88707923201</v>
      </c>
      <c r="U12" s="31">
        <f t="shared" si="32"/>
        <v>206152.04483135999</v>
      </c>
      <c r="W12" s="29">
        <f>SUM(W9:W11)</f>
        <v>82460.817932544</v>
      </c>
      <c r="X12" s="30">
        <f t="shared" ref="X12:Y12" si="33">SUM(X9:X11)</f>
        <v>108584.88707923201</v>
      </c>
      <c r="Y12" s="31">
        <f t="shared" si="33"/>
        <v>206152.04483135999</v>
      </c>
      <c r="AA12" s="29">
        <f>SUM(AA9:AA11)</f>
        <v>82460.817932544</v>
      </c>
      <c r="AB12" s="30">
        <f t="shared" ref="AB12:AC12" si="34">SUM(AB9:AB11)</f>
        <v>108584.88707923201</v>
      </c>
      <c r="AC12" s="31">
        <f t="shared" si="34"/>
        <v>206152.04483135999</v>
      </c>
      <c r="AE12" s="29">
        <f>SUM(AE9:AE11)</f>
        <v>82460.817932544</v>
      </c>
      <c r="AF12" s="30">
        <f t="shared" ref="AF12:AG12" si="35">SUM(AF9:AF11)</f>
        <v>108584.88707923201</v>
      </c>
      <c r="AG12" s="31">
        <f t="shared" si="35"/>
        <v>206152.04483135999</v>
      </c>
      <c r="AI12" s="29"/>
      <c r="AJ12" s="31"/>
      <c r="AL12" s="29"/>
      <c r="AM12" s="31"/>
      <c r="AO12" s="29"/>
      <c r="AP12" s="31"/>
      <c r="AR12" s="29"/>
      <c r="AS12" s="31"/>
      <c r="AU12" s="29"/>
      <c r="AV12" s="31"/>
      <c r="AX12" s="29"/>
      <c r="AY12" s="31"/>
      <c r="BA12" s="29"/>
      <c r="BB12" s="31"/>
      <c r="BD12" s="29"/>
      <c r="BE12" s="31"/>
      <c r="BG12" s="29"/>
      <c r="BH12" s="31"/>
      <c r="BJ12" s="29"/>
      <c r="BK12" s="31"/>
      <c r="BM12" s="29"/>
      <c r="BN12" s="31"/>
      <c r="BO12" s="29"/>
      <c r="BP12" s="31"/>
      <c r="BU12" s="29"/>
      <c r="BV12" s="31"/>
      <c r="BX12" s="29"/>
      <c r="BY12" s="31"/>
      <c r="CA12" s="29"/>
      <c r="CB12" s="31"/>
      <c r="CD12" s="29"/>
      <c r="CE12" s="31"/>
    </row>
    <row r="13" spans="1:83" ht="15" x14ac:dyDescent="0.25">
      <c r="A13" s="59">
        <v>0.44640000000000002</v>
      </c>
      <c r="B13" s="14"/>
      <c r="C13" s="29"/>
      <c r="D13" s="30"/>
      <c r="E13" s="31"/>
      <c r="G13" s="29"/>
      <c r="H13" s="30"/>
      <c r="I13" s="31"/>
      <c r="K13" s="29"/>
      <c r="L13" s="30"/>
      <c r="M13" s="31"/>
      <c r="O13" s="29"/>
      <c r="P13" s="30"/>
      <c r="Q13" s="31"/>
      <c r="S13" s="29"/>
      <c r="T13" s="30"/>
      <c r="U13" s="31"/>
      <c r="W13" s="29"/>
      <c r="X13" s="30"/>
      <c r="Y13" s="31"/>
      <c r="AA13" s="29"/>
      <c r="AB13" s="30"/>
      <c r="AC13" s="31"/>
      <c r="AE13" s="29"/>
      <c r="AF13" s="30"/>
      <c r="AG13" s="31"/>
      <c r="AI13" s="29"/>
      <c r="AJ13" s="31"/>
      <c r="AL13" s="29"/>
      <c r="AM13" s="31"/>
      <c r="AO13" s="29"/>
      <c r="AP13" s="31"/>
      <c r="AR13" s="29"/>
      <c r="AS13" s="31"/>
      <c r="AU13" s="29"/>
      <c r="AV13" s="31">
        <v>708.17</v>
      </c>
      <c r="AX13" s="29" t="s">
        <v>36</v>
      </c>
      <c r="AY13" s="31">
        <f>SUM(AY6:AY9)</f>
        <v>375.96000000000004</v>
      </c>
      <c r="BA13" s="29" t="s">
        <v>19</v>
      </c>
      <c r="BB13" s="31">
        <f>SUM(BB6:BB9)</f>
        <v>193.53</v>
      </c>
      <c r="BD13" s="29" t="s">
        <v>19</v>
      </c>
      <c r="BE13" s="31">
        <f>SUM(BE6:BE9)</f>
        <v>269.5</v>
      </c>
      <c r="BG13" s="29" t="s">
        <v>19</v>
      </c>
      <c r="BH13" s="31">
        <f>SUM(BH6:BH9)</f>
        <v>283.36</v>
      </c>
      <c r="BJ13" s="29" t="s">
        <v>19</v>
      </c>
      <c r="BK13" s="31">
        <f>SUM(BK6:BK9)</f>
        <v>354.54</v>
      </c>
      <c r="BM13" s="29" t="s">
        <v>19</v>
      </c>
      <c r="BN13" s="31">
        <f>SUM(BN6:BN9)</f>
        <v>397.38</v>
      </c>
      <c r="BO13" s="29" t="s">
        <v>40</v>
      </c>
      <c r="BP13" s="31">
        <f>SUM(BP6:BP9)</f>
        <v>553.13</v>
      </c>
      <c r="BU13" s="29" t="s">
        <v>40</v>
      </c>
      <c r="BV13" s="31">
        <f>SUM(BV6:BV9)</f>
        <v>120.39</v>
      </c>
      <c r="BX13" s="29"/>
      <c r="BY13" s="31"/>
      <c r="CA13" s="29"/>
      <c r="CB13" s="31"/>
      <c r="CD13" s="29"/>
      <c r="CE13" s="31"/>
    </row>
    <row r="14" spans="1:83" ht="15" x14ac:dyDescent="0.25">
      <c r="A14" s="66"/>
      <c r="B14" s="14" t="s">
        <v>20</v>
      </c>
      <c r="C14" s="32">
        <v>1267</v>
      </c>
      <c r="D14" s="33">
        <v>1271</v>
      </c>
      <c r="E14" s="34">
        <v>1272</v>
      </c>
      <c r="G14" s="32">
        <v>1221</v>
      </c>
      <c r="H14" s="33">
        <v>1223</v>
      </c>
      <c r="I14" s="34">
        <v>1224</v>
      </c>
      <c r="K14" s="32">
        <v>1261</v>
      </c>
      <c r="L14" s="33">
        <v>1263</v>
      </c>
      <c r="M14" s="34">
        <v>1264</v>
      </c>
      <c r="O14" s="32">
        <v>1290</v>
      </c>
      <c r="P14" s="33">
        <v>1290</v>
      </c>
      <c r="Q14" s="34">
        <v>1290</v>
      </c>
      <c r="S14" s="32">
        <v>1290</v>
      </c>
      <c r="T14" s="33">
        <v>1290</v>
      </c>
      <c r="U14" s="34">
        <v>1290</v>
      </c>
      <c r="W14" s="32">
        <v>1290</v>
      </c>
      <c r="X14" s="33">
        <v>1290</v>
      </c>
      <c r="Y14" s="34">
        <v>1290</v>
      </c>
      <c r="AA14" s="32">
        <v>1290</v>
      </c>
      <c r="AB14" s="33">
        <v>1290</v>
      </c>
      <c r="AC14" s="34">
        <v>1290</v>
      </c>
      <c r="AE14" s="32">
        <v>1290</v>
      </c>
      <c r="AF14" s="33">
        <v>1290</v>
      </c>
      <c r="AG14" s="34">
        <v>1290</v>
      </c>
      <c r="AI14" s="32"/>
      <c r="AJ14" s="34"/>
      <c r="AL14" s="17" t="s">
        <v>21</v>
      </c>
      <c r="AM14" s="19">
        <f>AM10*60</f>
        <v>116.39999999999999</v>
      </c>
      <c r="AO14" s="17" t="s">
        <v>21</v>
      </c>
      <c r="AP14" s="19">
        <f>AP10*60</f>
        <v>116.39999999999999</v>
      </c>
      <c r="AR14" s="17" t="s">
        <v>22</v>
      </c>
      <c r="AS14" s="19">
        <f>AS10*15</f>
        <v>44.037446301747167</v>
      </c>
      <c r="AU14" s="32"/>
      <c r="AV14" s="34"/>
      <c r="AX14" s="32"/>
      <c r="AY14" s="34"/>
      <c r="BA14" s="32"/>
      <c r="BB14" s="34"/>
      <c r="BD14" s="32"/>
      <c r="BE14" s="34"/>
      <c r="BG14" s="32"/>
      <c r="BH14" s="34"/>
      <c r="BJ14" s="32"/>
      <c r="BK14" s="34"/>
      <c r="BM14" s="32"/>
      <c r="BN14" s="34"/>
      <c r="BO14" s="32"/>
      <c r="BP14" s="34"/>
      <c r="BU14" s="32"/>
      <c r="BV14" s="34"/>
      <c r="BX14" s="17" t="s">
        <v>23</v>
      </c>
      <c r="BY14" s="19">
        <f>BY8*(660)</f>
        <v>903.64130372883358</v>
      </c>
      <c r="CA14" s="17" t="s">
        <v>24</v>
      </c>
      <c r="CB14" s="19">
        <f>CB8*165</f>
        <v>273.79358489749194</v>
      </c>
      <c r="CD14" s="35" t="s">
        <v>25</v>
      </c>
      <c r="CE14" s="36">
        <f>CE8*15</f>
        <v>44.037446301747167</v>
      </c>
    </row>
    <row r="15" spans="1:83" ht="15" x14ac:dyDescent="0.25">
      <c r="A15" s="58"/>
      <c r="B15" s="14"/>
      <c r="C15" s="17"/>
      <c r="D15" s="18"/>
      <c r="E15" s="19"/>
      <c r="G15" s="17"/>
      <c r="H15" s="18"/>
      <c r="I15" s="19"/>
      <c r="K15" s="17"/>
      <c r="L15" s="18"/>
      <c r="M15" s="19"/>
      <c r="O15" s="17"/>
      <c r="P15" s="18"/>
      <c r="Q15" s="19"/>
      <c r="S15" s="17"/>
      <c r="T15" s="18"/>
      <c r="U15" s="19"/>
      <c r="W15" s="17"/>
      <c r="X15" s="18"/>
      <c r="Y15" s="19"/>
      <c r="AA15" s="17"/>
      <c r="AB15" s="18"/>
      <c r="AC15" s="19"/>
      <c r="AE15" s="17"/>
      <c r="AF15" s="18"/>
      <c r="AG15" s="19"/>
      <c r="AI15" s="17"/>
      <c r="AJ15" s="19"/>
      <c r="AL15" s="17"/>
      <c r="AM15" s="19"/>
      <c r="AO15" s="17"/>
      <c r="AP15" s="19"/>
      <c r="AR15" s="17"/>
      <c r="AS15" s="19"/>
      <c r="AU15" s="17" t="s">
        <v>41</v>
      </c>
      <c r="AV15" s="37">
        <v>0.1</v>
      </c>
      <c r="AX15" s="17" t="s">
        <v>41</v>
      </c>
      <c r="AY15" s="37">
        <v>0.1</v>
      </c>
      <c r="BA15" s="17" t="s">
        <v>26</v>
      </c>
      <c r="BB15" s="37">
        <v>0</v>
      </c>
      <c r="BD15" s="17" t="s">
        <v>26</v>
      </c>
      <c r="BE15" s="37">
        <v>0</v>
      </c>
      <c r="BG15" s="17" t="s">
        <v>26</v>
      </c>
      <c r="BH15" s="37">
        <v>0</v>
      </c>
      <c r="BJ15" s="17" t="s">
        <v>26</v>
      </c>
      <c r="BK15" s="37">
        <v>0.15</v>
      </c>
      <c r="BM15" s="17" t="s">
        <v>26</v>
      </c>
      <c r="BN15" s="37">
        <v>0</v>
      </c>
      <c r="BO15" s="17" t="s">
        <v>41</v>
      </c>
      <c r="BP15" s="37">
        <v>0.1</v>
      </c>
      <c r="BU15" s="17" t="s">
        <v>41</v>
      </c>
      <c r="BV15" s="37">
        <v>0.1</v>
      </c>
      <c r="BX15" s="17" t="s">
        <v>43</v>
      </c>
      <c r="BY15" s="19">
        <f>E16*1.5</f>
        <v>264.224677810483</v>
      </c>
      <c r="CA15" s="17"/>
      <c r="CB15" s="19"/>
      <c r="CD15" s="17"/>
      <c r="CE15" s="19"/>
    </row>
    <row r="16" spans="1:83" ht="15" x14ac:dyDescent="0.25">
      <c r="A16" s="56"/>
      <c r="B16" s="14" t="s">
        <v>42</v>
      </c>
      <c r="C16" s="17">
        <f>C12/C14</f>
        <v>70.737972149420543</v>
      </c>
      <c r="D16" s="18">
        <f t="shared" ref="D16:E16" si="36">D12/D14</f>
        <v>92.855025972717172</v>
      </c>
      <c r="E16" s="19">
        <f t="shared" si="36"/>
        <v>176.14978520698867</v>
      </c>
      <c r="G16" s="17">
        <f>G12/G14</f>
        <v>73.402957177162847</v>
      </c>
      <c r="H16" s="18">
        <f t="shared" ref="H16:I16" si="37">H12/H14</f>
        <v>96.499376951204852</v>
      </c>
      <c r="I16" s="19">
        <f t="shared" si="37"/>
        <v>183.05761992098823</v>
      </c>
      <c r="K16" s="17">
        <f>K12/K14</f>
        <v>71.074552508577185</v>
      </c>
      <c r="L16" s="18">
        <f t="shared" ref="L16:M16" si="38">L12/L14</f>
        <v>93.443181323296542</v>
      </c>
      <c r="M16" s="19">
        <f t="shared" si="38"/>
        <v>177.26465726526075</v>
      </c>
      <c r="O16" s="17">
        <f>O12/O14</f>
        <v>63.923114676390696</v>
      </c>
      <c r="P16" s="18">
        <f t="shared" ref="P16:Q16" si="39">P12/P14</f>
        <v>84.174331069172098</v>
      </c>
      <c r="Q16" s="19">
        <f t="shared" si="39"/>
        <v>159.80778669097674</v>
      </c>
      <c r="S16" s="17">
        <f>S12/S14</f>
        <v>63.923114676390696</v>
      </c>
      <c r="T16" s="18">
        <f t="shared" ref="T16:U16" si="40">T12/T14</f>
        <v>84.174331069172098</v>
      </c>
      <c r="U16" s="19">
        <f t="shared" si="40"/>
        <v>159.80778669097674</v>
      </c>
      <c r="W16" s="17">
        <f>W12/W14</f>
        <v>63.923114676390696</v>
      </c>
      <c r="X16" s="18">
        <f t="shared" ref="X16:Y16" si="41">X12/X14</f>
        <v>84.174331069172098</v>
      </c>
      <c r="Y16" s="19">
        <f t="shared" si="41"/>
        <v>159.80778669097674</v>
      </c>
      <c r="AA16" s="17">
        <f>AA12/AA14</f>
        <v>63.923114676390696</v>
      </c>
      <c r="AB16" s="18">
        <f t="shared" ref="AB16:AC16" si="42">AB12/AB14</f>
        <v>84.174331069172098</v>
      </c>
      <c r="AC16" s="19">
        <f t="shared" si="42"/>
        <v>159.80778669097674</v>
      </c>
      <c r="AE16" s="17">
        <f>AE12/AE14</f>
        <v>63.923114676390696</v>
      </c>
      <c r="AF16" s="18">
        <f t="shared" ref="AF16:AG16" si="43">AF12/AF14</f>
        <v>84.174331069172098</v>
      </c>
      <c r="AG16" s="19">
        <f t="shared" si="43"/>
        <v>159.80778669097674</v>
      </c>
      <c r="AI16" s="17"/>
      <c r="AJ16" s="19"/>
      <c r="AL16" s="17"/>
      <c r="AM16" s="19"/>
      <c r="AO16" s="17"/>
      <c r="AP16" s="19"/>
      <c r="AR16" s="17"/>
      <c r="AS16" s="19"/>
      <c r="AU16" s="17"/>
      <c r="AV16" s="19"/>
      <c r="AX16" s="17"/>
      <c r="AY16" s="19"/>
      <c r="BA16" s="17"/>
      <c r="BB16" s="19"/>
      <c r="BD16" s="17"/>
      <c r="BE16" s="19"/>
      <c r="BG16" s="17"/>
      <c r="BH16" s="19"/>
      <c r="BJ16" s="17"/>
      <c r="BK16" s="19"/>
      <c r="BM16" s="17"/>
      <c r="BN16" s="19"/>
      <c r="BO16" s="17"/>
      <c r="BP16" s="19"/>
      <c r="BU16" s="17"/>
      <c r="BV16" s="19"/>
      <c r="BX16" s="17"/>
      <c r="BY16" s="19"/>
      <c r="CA16" s="17"/>
      <c r="CB16" s="19"/>
      <c r="CD16" s="17"/>
      <c r="CE16" s="19"/>
    </row>
    <row r="17" spans="1:83" ht="15" x14ac:dyDescent="0.25">
      <c r="A17" s="56"/>
      <c r="B17" s="14"/>
      <c r="C17" s="15"/>
      <c r="D17" s="3"/>
      <c r="E17" s="20"/>
      <c r="G17" s="15"/>
      <c r="H17" s="3"/>
      <c r="I17" s="20"/>
      <c r="K17" s="15"/>
      <c r="L17" s="3"/>
      <c r="M17" s="20"/>
      <c r="O17" s="15"/>
      <c r="P17" s="3"/>
      <c r="Q17" s="20"/>
      <c r="S17" s="15"/>
      <c r="T17" s="3"/>
      <c r="U17" s="20"/>
      <c r="W17" s="15"/>
      <c r="X17" s="3"/>
      <c r="Y17" s="20"/>
      <c r="AA17" s="15"/>
      <c r="AB17" s="3"/>
      <c r="AC17" s="20"/>
      <c r="AE17" s="15"/>
      <c r="AF17" s="3"/>
      <c r="AG17" s="20"/>
      <c r="AI17" s="15"/>
      <c r="AJ17" s="20"/>
      <c r="AL17" s="15"/>
      <c r="AM17" s="20"/>
      <c r="AO17" s="15"/>
      <c r="AP17" s="20"/>
      <c r="AR17" s="15"/>
      <c r="AS17" s="20"/>
      <c r="AU17" s="15"/>
      <c r="AV17" s="20"/>
      <c r="AX17" s="15"/>
      <c r="AY17" s="20"/>
      <c r="BA17" s="15"/>
      <c r="BB17" s="20"/>
      <c r="BD17" s="15"/>
      <c r="BE17" s="20"/>
      <c r="BG17" s="15"/>
      <c r="BH17" s="20"/>
      <c r="BJ17" s="15"/>
      <c r="BK17" s="20"/>
      <c r="BM17" s="15"/>
      <c r="BN17" s="20"/>
      <c r="BO17" s="15"/>
      <c r="BP17" s="20"/>
      <c r="BU17" s="15"/>
      <c r="BV17" s="20"/>
      <c r="BX17" s="15"/>
      <c r="BY17" s="20"/>
      <c r="CA17" s="15"/>
      <c r="CB17" s="20"/>
      <c r="CD17" s="15"/>
      <c r="CE17" s="20"/>
    </row>
    <row r="18" spans="1:83" ht="15" x14ac:dyDescent="0.25">
      <c r="A18" s="61"/>
      <c r="B18" s="14" t="s">
        <v>35</v>
      </c>
      <c r="C18" s="29">
        <f>C16*C4</f>
        <v>31.832087467239244</v>
      </c>
      <c r="D18" s="30">
        <f>D16*D4</f>
        <v>32.499259090451005</v>
      </c>
      <c r="E18" s="31">
        <f>E16*E4</f>
        <v>35.229957041397732</v>
      </c>
      <c r="G18" s="29">
        <f>G16*G4</f>
        <v>18.350739294290712</v>
      </c>
      <c r="H18" s="30">
        <f>H16*H4</f>
        <v>43.424719628042183</v>
      </c>
      <c r="I18" s="31">
        <f>I16*I4</f>
        <v>54.917285976296469</v>
      </c>
      <c r="K18" s="29">
        <f>K16*K4</f>
        <v>10.661182876286578</v>
      </c>
      <c r="L18" s="30">
        <f>L16*L4</f>
        <v>51.393749727813102</v>
      </c>
      <c r="M18" s="31">
        <f>M16*M4</f>
        <v>53.179397179578224</v>
      </c>
      <c r="O18" s="29">
        <f>O16*O4</f>
        <v>9.5884672014586041</v>
      </c>
      <c r="P18" s="30">
        <f>P16*P4</f>
        <v>71.548181408796282</v>
      </c>
      <c r="Q18" s="31">
        <f>Q16*Q4</f>
        <v>0</v>
      </c>
      <c r="S18" s="29">
        <f>S16*S4</f>
        <v>6.39231146763907</v>
      </c>
      <c r="T18" s="30">
        <f>T16*T4</f>
        <v>75.756897962254897</v>
      </c>
      <c r="U18" s="31">
        <f>U16*U4</f>
        <v>0</v>
      </c>
      <c r="W18" s="29">
        <f>W16*W4</f>
        <v>6.39231146763907</v>
      </c>
      <c r="X18" s="30">
        <f>X16*X4</f>
        <v>75.756897962254897</v>
      </c>
      <c r="Y18" s="31">
        <f>Y16*Y4</f>
        <v>0</v>
      </c>
      <c r="AA18" s="29">
        <f>AA16*AA4</f>
        <v>6.39231146763907</v>
      </c>
      <c r="AB18" s="30">
        <f>AB16*AB4</f>
        <v>75.756897962254897</v>
      </c>
      <c r="AC18" s="31">
        <f>AC16*AC4</f>
        <v>0</v>
      </c>
      <c r="AE18" s="29">
        <f>AE16*AE4</f>
        <v>9.5884672014586041</v>
      </c>
      <c r="AF18" s="30">
        <f>AF16*AF4</f>
        <v>71.548181408796282</v>
      </c>
      <c r="AG18" s="31">
        <f>AG16*AG4</f>
        <v>0</v>
      </c>
      <c r="AI18" s="29"/>
      <c r="AJ18" s="31"/>
      <c r="AL18" s="29"/>
      <c r="AM18" s="31"/>
      <c r="AO18" s="29"/>
      <c r="AP18" s="31"/>
      <c r="AR18" s="29"/>
      <c r="AS18" s="31"/>
      <c r="AU18" s="29"/>
      <c r="AV18" s="31"/>
      <c r="AX18" s="29"/>
      <c r="AY18" s="31"/>
      <c r="BA18" s="29"/>
      <c r="BB18" s="31"/>
      <c r="BD18" s="29"/>
      <c r="BE18" s="31"/>
      <c r="BG18" s="29"/>
      <c r="BH18" s="31"/>
      <c r="BJ18" s="29"/>
      <c r="BK18" s="31"/>
      <c r="BM18" s="29"/>
      <c r="BN18" s="31"/>
      <c r="BO18" s="29"/>
      <c r="BP18" s="31"/>
      <c r="BU18" s="29"/>
      <c r="BV18" s="31"/>
      <c r="BX18" s="29"/>
      <c r="BY18" s="31"/>
      <c r="CA18" s="29"/>
      <c r="CB18" s="31"/>
      <c r="CD18" s="29"/>
      <c r="CE18" s="31"/>
    </row>
    <row r="19" spans="1:83" ht="15" x14ac:dyDescent="0.25">
      <c r="A19" s="62"/>
      <c r="B19" s="14" t="s">
        <v>27</v>
      </c>
      <c r="C19" s="29"/>
      <c r="D19" s="30"/>
      <c r="E19" s="31"/>
      <c r="G19" s="29"/>
      <c r="H19" s="30"/>
      <c r="I19" s="31"/>
      <c r="K19" s="29"/>
      <c r="L19" s="30"/>
      <c r="M19" s="31"/>
      <c r="O19" s="38">
        <v>294</v>
      </c>
      <c r="P19" s="39"/>
      <c r="Q19" s="40"/>
      <c r="R19" s="41"/>
      <c r="S19" s="38">
        <v>495</v>
      </c>
      <c r="T19" s="39"/>
      <c r="U19" s="40"/>
      <c r="V19" s="41"/>
      <c r="W19" s="38">
        <v>750</v>
      </c>
      <c r="X19" s="39"/>
      <c r="Y19" s="40"/>
      <c r="Z19" s="41"/>
      <c r="AA19" s="38">
        <v>1080</v>
      </c>
      <c r="AB19" s="30"/>
      <c r="AC19" s="31"/>
      <c r="AE19" s="38">
        <v>120</v>
      </c>
      <c r="AF19" s="30"/>
      <c r="AG19" s="31"/>
      <c r="AI19" s="38"/>
      <c r="AJ19" s="31"/>
      <c r="AL19" s="38"/>
      <c r="AM19" s="31"/>
      <c r="AO19" s="38"/>
      <c r="AP19" s="31"/>
      <c r="AR19" s="38"/>
      <c r="AS19" s="31"/>
      <c r="AU19" s="38"/>
      <c r="AV19" s="31"/>
      <c r="AX19" s="38"/>
      <c r="AY19" s="31"/>
      <c r="BA19" s="38"/>
      <c r="BB19" s="31"/>
      <c r="BD19" s="38"/>
      <c r="BE19" s="31"/>
      <c r="BG19" s="38"/>
      <c r="BH19" s="31"/>
      <c r="BJ19" s="38"/>
      <c r="BK19" s="31"/>
      <c r="BM19" s="38"/>
      <c r="BN19" s="31"/>
      <c r="BO19" s="38"/>
      <c r="BP19" s="31"/>
      <c r="BU19" s="38"/>
      <c r="BV19" s="31"/>
      <c r="BX19" s="38"/>
      <c r="BY19" s="31"/>
      <c r="CA19" s="38"/>
      <c r="CB19" s="31"/>
      <c r="CD19" s="38"/>
      <c r="CE19" s="31"/>
    </row>
    <row r="20" spans="1:83" ht="15" x14ac:dyDescent="0.25">
      <c r="A20" s="56"/>
      <c r="B20" s="14"/>
      <c r="C20" s="15"/>
      <c r="D20" s="3"/>
      <c r="E20" s="20"/>
      <c r="G20" s="15"/>
      <c r="H20" s="3"/>
      <c r="I20" s="20"/>
      <c r="K20" s="15"/>
      <c r="L20" s="3"/>
      <c r="M20" s="20"/>
      <c r="O20" s="15"/>
      <c r="P20" s="3"/>
      <c r="Q20" s="20"/>
      <c r="S20" s="15"/>
      <c r="T20" s="3"/>
      <c r="U20" s="20"/>
      <c r="W20" s="15"/>
      <c r="X20" s="3"/>
      <c r="Y20" s="20"/>
      <c r="AA20" s="15"/>
      <c r="AB20" s="3"/>
      <c r="AC20" s="20"/>
      <c r="AE20" s="15"/>
      <c r="AF20" s="3"/>
      <c r="AG20" s="20"/>
      <c r="AI20" s="15"/>
      <c r="AJ20" s="20"/>
      <c r="AL20" s="15"/>
      <c r="AM20" s="31"/>
      <c r="AO20" s="15"/>
      <c r="AP20" s="20"/>
      <c r="AR20" s="15"/>
      <c r="AS20" s="20"/>
      <c r="AU20" s="15"/>
      <c r="AV20" s="20"/>
      <c r="AX20" s="15"/>
      <c r="AY20" s="20"/>
      <c r="BA20" s="15"/>
      <c r="BB20" s="20"/>
      <c r="BD20" s="15"/>
      <c r="BE20" s="20"/>
      <c r="BG20" s="15"/>
      <c r="BH20" s="20"/>
      <c r="BJ20" s="15"/>
      <c r="BK20" s="20"/>
      <c r="BM20" s="15"/>
      <c r="BN20" s="20"/>
      <c r="BO20" s="15"/>
      <c r="BP20" s="20"/>
      <c r="BU20" s="15"/>
      <c r="BV20" s="20"/>
      <c r="BX20" s="15"/>
      <c r="BY20" s="20"/>
      <c r="CA20" s="15"/>
      <c r="CB20" s="20"/>
      <c r="CD20" s="15"/>
      <c r="CE20" s="20"/>
    </row>
    <row r="21" spans="1:83" s="42" customFormat="1" ht="18" thickBot="1" x14ac:dyDescent="0.45">
      <c r="A21" s="63"/>
      <c r="B21" s="43" t="s">
        <v>36</v>
      </c>
      <c r="C21" s="44">
        <f>SUM(C18:E18)</f>
        <v>99.561303599087978</v>
      </c>
      <c r="D21" s="45">
        <f>ROUND((C21/60),2)*60</f>
        <v>99.6</v>
      </c>
      <c r="E21" s="46"/>
      <c r="G21" s="44">
        <f>SUM(G18:I18)</f>
        <v>116.69274489862937</v>
      </c>
      <c r="H21" s="45">
        <f>ROUND((G21/60),2)*60</f>
        <v>116.39999999999999</v>
      </c>
      <c r="I21" s="46"/>
      <c r="K21" s="44">
        <f>SUM(K18:M18)</f>
        <v>115.23432978367791</v>
      </c>
      <c r="L21" s="45">
        <f>ROUND((K21/60),2)*60</f>
        <v>115.19999999999999</v>
      </c>
      <c r="M21" s="47"/>
      <c r="O21" s="48">
        <f>SUM(O18:Q18)*(O19/60)</f>
        <v>397.56957819024893</v>
      </c>
      <c r="P21" s="49"/>
      <c r="Q21" s="47"/>
      <c r="S21" s="48">
        <f>SUM(S18:U18)*(S19/60)</f>
        <v>677.73097779662521</v>
      </c>
      <c r="T21" s="49"/>
      <c r="U21" s="47"/>
      <c r="W21" s="48">
        <f>SUM(W18:Y18)*(W19/60)</f>
        <v>1026.8651178736745</v>
      </c>
      <c r="X21" s="49"/>
      <c r="Y21" s="47"/>
      <c r="Z21" s="50"/>
      <c r="AA21" s="48">
        <f>SUM(AA18:AC18)*(AA19/60)</f>
        <v>1478.6857697380915</v>
      </c>
      <c r="AB21" s="49"/>
      <c r="AC21" s="47"/>
      <c r="AD21" s="50"/>
      <c r="AE21" s="48">
        <f>SUM(AE18:AG18)*(AE19/60)</f>
        <v>162.27329722050976</v>
      </c>
      <c r="AF21" s="49"/>
      <c r="AG21" s="47"/>
      <c r="AH21" s="50"/>
      <c r="AI21" s="48"/>
      <c r="AJ21" s="47"/>
      <c r="AK21" s="50"/>
      <c r="AL21" s="48">
        <f>AM14</f>
        <v>116.39999999999999</v>
      </c>
      <c r="AM21" s="47">
        <f>ROUND((AL21/60),2)*60</f>
        <v>116.39999999999999</v>
      </c>
      <c r="AN21" s="50"/>
      <c r="AO21" s="48">
        <f>AP14</f>
        <v>116.39999999999999</v>
      </c>
      <c r="AP21" s="47">
        <f>ROUND((AO21/60),2)*60</f>
        <v>116.39999999999999</v>
      </c>
      <c r="AQ21" s="50"/>
      <c r="AR21" s="48">
        <f>AS14</f>
        <v>44.037446301747167</v>
      </c>
      <c r="AS21" s="47"/>
      <c r="AT21" s="50"/>
      <c r="AU21" s="48">
        <f>(100%-AV15)*AV13</f>
        <v>637.35299999999995</v>
      </c>
      <c r="AV21" s="47"/>
      <c r="AW21" s="50"/>
      <c r="AX21" s="81">
        <f>(100%-AY15)*AY13</f>
        <v>338.36400000000003</v>
      </c>
      <c r="AY21" s="47"/>
      <c r="AZ21" s="50"/>
      <c r="BA21" s="48">
        <f>(100%-BB15)*BB13</f>
        <v>193.53</v>
      </c>
      <c r="BB21" s="47"/>
      <c r="BD21" s="48">
        <f>(100%-BE15)*BE13</f>
        <v>269.5</v>
      </c>
      <c r="BE21" s="47"/>
      <c r="BG21" s="48">
        <f>(100%-BH15)*BH13</f>
        <v>283.36</v>
      </c>
      <c r="BH21" s="47"/>
      <c r="BJ21" s="48">
        <f>(100%-BK15)*BK13</f>
        <v>301.35900000000004</v>
      </c>
      <c r="BK21" s="47"/>
      <c r="BM21" s="48">
        <f>(100%-BN15)*BN13</f>
        <v>397.38</v>
      </c>
      <c r="BN21" s="47"/>
      <c r="BO21" s="48">
        <f>(100%-BP15)*BP13</f>
        <v>497.81700000000001</v>
      </c>
      <c r="BP21" s="47"/>
      <c r="BQ21" s="50"/>
      <c r="BU21" s="48">
        <f>(100%-BV15)*BV13</f>
        <v>108.351</v>
      </c>
      <c r="BV21" s="47"/>
      <c r="BW21" s="50"/>
      <c r="BX21" s="48">
        <f>SUM(BY14:BY16)</f>
        <v>1167.8659815393166</v>
      </c>
      <c r="BY21" s="47"/>
      <c r="BZ21" s="50"/>
      <c r="CA21" s="48">
        <f>CB14</f>
        <v>273.79358489749194</v>
      </c>
      <c r="CB21" s="47"/>
      <c r="CC21" s="50"/>
      <c r="CD21" s="48">
        <f>CE14</f>
        <v>44.037446301747167</v>
      </c>
      <c r="CE21" s="47"/>
    </row>
    <row r="22" spans="1:83" x14ac:dyDescent="0.4">
      <c r="D22" s="51"/>
      <c r="F22" s="42"/>
      <c r="G22" s="51"/>
      <c r="M22" s="1"/>
      <c r="O22" s="42"/>
      <c r="S22" s="42"/>
      <c r="W22" s="42"/>
    </row>
    <row r="23" spans="1:83" x14ac:dyDescent="0.4">
      <c r="A23" s="52"/>
      <c r="B23" s="80" t="s">
        <v>28</v>
      </c>
      <c r="C23" s="80"/>
      <c r="D23" s="80"/>
      <c r="E23" s="80"/>
      <c r="F23" s="42"/>
      <c r="M23" s="53"/>
    </row>
    <row r="24" spans="1:83" ht="17.25" customHeight="1" x14ac:dyDescent="0.4">
      <c r="A24" s="54">
        <f>H24</f>
        <v>33328.800000000003</v>
      </c>
      <c r="B24" s="80" t="s">
        <v>29</v>
      </c>
      <c r="C24" s="80"/>
      <c r="D24" s="80"/>
      <c r="E24" s="80"/>
      <c r="F24" s="42"/>
      <c r="G24" s="42">
        <v>3086</v>
      </c>
      <c r="H24" s="42">
        <f>G24*12*0.9</f>
        <v>33328.800000000003</v>
      </c>
      <c r="M24" s="53"/>
    </row>
    <row r="25" spans="1:83" x14ac:dyDescent="0.4">
      <c r="A25" s="54">
        <f>H25</f>
        <v>41385.599999999999</v>
      </c>
      <c r="B25" s="80" t="s">
        <v>30</v>
      </c>
      <c r="C25" s="80"/>
      <c r="D25" s="80"/>
      <c r="E25" s="80"/>
      <c r="F25" s="42"/>
      <c r="G25" s="42">
        <v>3832</v>
      </c>
      <c r="H25" s="42">
        <f>G25*12*0.9</f>
        <v>41385.599999999999</v>
      </c>
    </row>
    <row r="26" spans="1:83" x14ac:dyDescent="0.4">
      <c r="A26" s="54">
        <f>H26</f>
        <v>54496.800000000003</v>
      </c>
      <c r="B26" s="80" t="s">
        <v>31</v>
      </c>
      <c r="C26" s="80"/>
      <c r="D26" s="80"/>
      <c r="E26" s="80"/>
      <c r="F26" s="42"/>
      <c r="G26" s="42">
        <v>5046</v>
      </c>
      <c r="H26" s="42">
        <f>G26*12*0.9</f>
        <v>54496.800000000003</v>
      </c>
    </row>
    <row r="27" spans="1:83" x14ac:dyDescent="0.4">
      <c r="A27" s="54">
        <f>H27</f>
        <v>60134.400000000001</v>
      </c>
      <c r="B27" s="55" t="s">
        <v>32</v>
      </c>
      <c r="C27" s="55"/>
      <c r="D27" s="55"/>
      <c r="E27" s="55"/>
      <c r="F27" s="42"/>
      <c r="G27" s="42">
        <f>+(5046+6090)/2</f>
        <v>5568</v>
      </c>
      <c r="H27" s="42">
        <f>G27*12*0.9</f>
        <v>60134.400000000001</v>
      </c>
    </row>
    <row r="28" spans="1:83" x14ac:dyDescent="0.4">
      <c r="A28" s="54">
        <f>H28</f>
        <v>103464</v>
      </c>
      <c r="B28" s="80" t="s">
        <v>33</v>
      </c>
      <c r="C28" s="80"/>
      <c r="D28" s="80"/>
      <c r="E28" s="80"/>
      <c r="F28" s="42"/>
      <c r="G28" s="42">
        <v>8622</v>
      </c>
      <c r="H28" s="42">
        <f>G28*12</f>
        <v>103464</v>
      </c>
    </row>
    <row r="29" spans="1:83" x14ac:dyDescent="0.4">
      <c r="F29" s="42"/>
    </row>
    <row r="30" spans="1:83" x14ac:dyDescent="0.4">
      <c r="F30" s="42"/>
    </row>
    <row r="31" spans="1:83" x14ac:dyDescent="0.4">
      <c r="F31" s="42"/>
    </row>
    <row r="32" spans="1:83" x14ac:dyDescent="0.4">
      <c r="F32" s="42"/>
    </row>
    <row r="33" spans="3:6" x14ac:dyDescent="0.4">
      <c r="C33" s="53"/>
      <c r="D33" s="42"/>
      <c r="F33" s="42"/>
    </row>
    <row r="34" spans="3:6" x14ac:dyDescent="0.4">
      <c r="C34" s="53"/>
      <c r="D34" s="42"/>
      <c r="F34" s="42"/>
    </row>
    <row r="35" spans="3:6" x14ac:dyDescent="0.4">
      <c r="D35" s="42"/>
      <c r="F35" s="42"/>
    </row>
    <row r="36" spans="3:6" x14ac:dyDescent="0.4">
      <c r="D36" s="42"/>
      <c r="F36" s="42"/>
    </row>
    <row r="37" spans="3:6" x14ac:dyDescent="0.4">
      <c r="D37" s="42"/>
      <c r="F37" s="42"/>
    </row>
    <row r="38" spans="3:6" x14ac:dyDescent="0.4">
      <c r="D38" s="42"/>
    </row>
  </sheetData>
  <mergeCells count="60">
    <mergeCell ref="BO2:BP2"/>
    <mergeCell ref="BU2:BV2"/>
    <mergeCell ref="BX2:BY2"/>
    <mergeCell ref="CA2:CB2"/>
    <mergeCell ref="CD2:CE2"/>
    <mergeCell ref="AL2:AM2"/>
    <mergeCell ref="AO2:AP2"/>
    <mergeCell ref="AR2:AS2"/>
    <mergeCell ref="AU2:AV2"/>
    <mergeCell ref="AX2:AY2"/>
    <mergeCell ref="CA9:CB10"/>
    <mergeCell ref="BO7:BO8"/>
    <mergeCell ref="BU7:BU8"/>
    <mergeCell ref="AI9:AJ10"/>
    <mergeCell ref="B28:E28"/>
    <mergeCell ref="B23:E23"/>
    <mergeCell ref="B24:E24"/>
    <mergeCell ref="B25:E25"/>
    <mergeCell ref="B26:E26"/>
    <mergeCell ref="BX9:BY10"/>
    <mergeCell ref="BX5:BX6"/>
    <mergeCell ref="CD5:CD6"/>
    <mergeCell ref="AL7:AL8"/>
    <mergeCell ref="AO7:AO8"/>
    <mergeCell ref="AX7:AX8"/>
    <mergeCell ref="BA7:BA8"/>
    <mergeCell ref="BD7:BD8"/>
    <mergeCell ref="BG7:BG8"/>
    <mergeCell ref="BJ7:BJ8"/>
    <mergeCell ref="BM7:BM8"/>
    <mergeCell ref="BD5:BD6"/>
    <mergeCell ref="BG5:BG6"/>
    <mergeCell ref="BJ5:BJ6"/>
    <mergeCell ref="BM5:BM6"/>
    <mergeCell ref="CD9:CE10"/>
    <mergeCell ref="BO5:BO6"/>
    <mergeCell ref="BU5:BU6"/>
    <mergeCell ref="BJ3:BK4"/>
    <mergeCell ref="BM3:BN4"/>
    <mergeCell ref="BO3:BP4"/>
    <mergeCell ref="BU3:BV4"/>
    <mergeCell ref="BA5:BA6"/>
    <mergeCell ref="BG3:BH4"/>
    <mergeCell ref="AA2:AC2"/>
    <mergeCell ref="AE2:AG2"/>
    <mergeCell ref="AX3:AY4"/>
    <mergeCell ref="BA3:BB4"/>
    <mergeCell ref="BD3:BE4"/>
    <mergeCell ref="AL5:AL6"/>
    <mergeCell ref="AO5:AO6"/>
    <mergeCell ref="AR5:AR6"/>
    <mergeCell ref="AU5:AU6"/>
    <mergeCell ref="AX5:AX6"/>
    <mergeCell ref="AU3:AV4"/>
    <mergeCell ref="W2:Y2"/>
    <mergeCell ref="C2:E2"/>
    <mergeCell ref="G2:I2"/>
    <mergeCell ref="K2:M2"/>
    <mergeCell ref="O2:Q2"/>
    <mergeCell ref="S2:U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GGZ Tarieven 2018</vt:lpstr>
    </vt:vector>
  </TitlesOfParts>
  <Company>Gemeente Gouda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Feliks</dc:creator>
  <cp:lastModifiedBy>Frank Feliks</cp:lastModifiedBy>
  <dcterms:created xsi:type="dcterms:W3CDTF">2017-11-28T15:01:44Z</dcterms:created>
  <dcterms:modified xsi:type="dcterms:W3CDTF">2020-06-24T09:12:49Z</dcterms:modified>
</cp:coreProperties>
</file>