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UDE MAP\204590\00. Bestanden divers\999. Berekening tarieven 2018\Begeleiding en dagbesteding\"/>
    </mc:Choice>
  </mc:AlternateContent>
  <bookViews>
    <workbookView xWindow="0" yWindow="0" windowWidth="16380" windowHeight="5595"/>
  </bookViews>
  <sheets>
    <sheet name="Tarieven BG en DB" sheetId="3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3" l="1"/>
  <c r="G16" i="33"/>
  <c r="F16" i="33"/>
  <c r="L14" i="33" l="1"/>
  <c r="L4" i="33"/>
  <c r="L5" i="33" l="1"/>
  <c r="L6" i="33"/>
  <c r="L7" i="33"/>
  <c r="L8" i="33" l="1"/>
  <c r="L11" i="33" s="1"/>
  <c r="L10" i="33" l="1"/>
  <c r="A9" i="33" l="1"/>
  <c r="L9" i="33" s="1"/>
  <c r="L12" i="33" s="1"/>
  <c r="L19" i="33" s="1"/>
  <c r="L21" i="33" s="1"/>
  <c r="L25" i="33" s="1"/>
  <c r="L28" i="33" l="1"/>
  <c r="K14" i="33" l="1"/>
  <c r="J14" i="33"/>
  <c r="K4" i="33"/>
  <c r="J4" i="33"/>
  <c r="F4" i="33"/>
  <c r="G14" i="33"/>
  <c r="H14" i="33"/>
  <c r="F14" i="33"/>
  <c r="K7" i="33" l="1"/>
  <c r="J7" i="33"/>
  <c r="F7" i="33"/>
  <c r="J5" i="33"/>
  <c r="J6" i="33"/>
  <c r="K5" i="33"/>
  <c r="K6" i="33"/>
  <c r="F6" i="33"/>
  <c r="F5" i="33"/>
  <c r="G4" i="33"/>
  <c r="H4" i="33"/>
  <c r="J8" i="33" l="1"/>
  <c r="J9" i="33" s="1"/>
  <c r="K8" i="33"/>
  <c r="K9" i="33" s="1"/>
  <c r="F8" i="33"/>
  <c r="F9" i="33" s="1"/>
  <c r="H7" i="33"/>
  <c r="G7" i="33"/>
  <c r="H5" i="33"/>
  <c r="H6" i="33"/>
  <c r="G5" i="33"/>
  <c r="G6" i="33"/>
  <c r="K10" i="33" l="1"/>
  <c r="G8" i="33"/>
  <c r="G9" i="33" s="1"/>
  <c r="H8" i="33"/>
  <c r="H10" i="33" s="1"/>
  <c r="K11" i="33"/>
  <c r="J10" i="33"/>
  <c r="J11" i="33"/>
  <c r="F10" i="33"/>
  <c r="F12" i="33" s="1"/>
  <c r="F19" i="33" s="1"/>
  <c r="F21" i="33" s="1"/>
  <c r="F26" i="33" s="1"/>
  <c r="F27" i="33" s="1"/>
  <c r="F28" i="33" s="1"/>
  <c r="K12" i="33" l="1"/>
  <c r="K19" i="33" s="1"/>
  <c r="K21" i="33" s="1"/>
  <c r="K25" i="33" s="1"/>
  <c r="J12" i="33"/>
  <c r="J19" i="33" s="1"/>
  <c r="J21" i="33" s="1"/>
  <c r="J25" i="33" s="1"/>
  <c r="H9" i="33"/>
  <c r="H12" i="33" s="1"/>
  <c r="H19" i="33" s="1"/>
  <c r="H21" i="33" s="1"/>
  <c r="H26" i="33" s="1"/>
  <c r="H27" i="33" s="1"/>
  <c r="H28" i="33" s="1"/>
  <c r="G10" i="33"/>
  <c r="G12" i="33" s="1"/>
  <c r="K28" i="33" l="1"/>
  <c r="J28" i="33"/>
  <c r="G19" i="33"/>
  <c r="G21" i="33" s="1"/>
  <c r="G26" i="33" s="1"/>
  <c r="G27" i="33" s="1"/>
  <c r="G28" i="33" s="1"/>
</calcChain>
</file>

<file path=xl/comments1.xml><?xml version="1.0" encoding="utf-8"?>
<comments xmlns="http://schemas.openxmlformats.org/spreadsheetml/2006/main">
  <authors>
    <author>Frank Feliks</author>
    <author>Bakelaar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
Gemiddelde van gegevens uitvraag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Op basis van de uitvraag salarisschaal 7, trede 7 CAO Jeugdzorg. Vanwege beoogde kwaliteit (ondermeer inzet van gedragswetenschappers ten behoeve van  structuur) twee schalen verhoogd naar schaal 9, trede 7 CAO Jeugdzorg.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Eén schaal hoger dan Begeleiding specialistisch -&gt; schaal 10, trede 7 CAO Jeugdzorg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Gemiddelde van gegevens uitvraag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Gemiddelde van gegevens uitvraag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Gemiddelde van gegevens uitvraag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</rPr>
          <t xml:space="preserve">
Conform uitvraag
11% in 4% van de situaties</t>
        </r>
      </text>
    </comment>
    <comment ref="G7" authorId="1" shapeId="0">
      <text>
        <r>
          <rPr>
            <b/>
            <sz val="8"/>
            <color indexed="81"/>
            <rFont val="Tahoma"/>
            <family val="2"/>
          </rPr>
          <t xml:space="preserve">
Conform uitvraag
13,29% in 4,76% van de situaties</t>
        </r>
      </text>
    </comment>
    <comment ref="H7" authorId="1" shapeId="0">
      <text>
        <r>
          <rPr>
            <b/>
            <sz val="8"/>
            <color indexed="81"/>
            <rFont val="Tahoma"/>
            <family val="2"/>
          </rPr>
          <t xml:space="preserve">
Conform uitvraag
15,42% in 9,08% van de situaties</t>
        </r>
      </text>
    </comment>
    <comment ref="J7" authorId="1" shapeId="0">
      <text>
        <r>
          <rPr>
            <b/>
            <sz val="8"/>
            <color indexed="81"/>
            <rFont val="Tahoma"/>
            <family val="2"/>
          </rPr>
          <t xml:space="preserve">
Conform uitvraag
6,77% in 2,42% van de situaties
</t>
        </r>
      </text>
    </comment>
    <comment ref="K7" authorId="1" shapeId="0">
      <text>
        <r>
          <rPr>
            <b/>
            <sz val="8"/>
            <color indexed="81"/>
            <rFont val="Tahoma"/>
            <family val="2"/>
          </rPr>
          <t xml:space="preserve">
Conform uitvraag
11% in 9,17% van de situaties</t>
        </r>
      </text>
    </comment>
    <comment ref="L7" authorId="1" shapeId="0">
      <text>
        <r>
          <rPr>
            <b/>
            <sz val="8"/>
            <color indexed="81"/>
            <rFont val="Tahoma"/>
            <family val="2"/>
          </rPr>
          <t xml:space="preserve">
Conform uitvraag
10,35% in 6,56% van de situaties</t>
        </r>
      </text>
    </comment>
  </commentList>
</comments>
</file>

<file path=xl/sharedStrings.xml><?xml version="1.0" encoding="utf-8"?>
<sst xmlns="http://schemas.openxmlformats.org/spreadsheetml/2006/main" count="75" uniqueCount="74">
  <si>
    <t>Vakantietoeslag</t>
  </si>
  <si>
    <t>Eindejaarsuitkering</t>
  </si>
  <si>
    <t>Onregelmatigheidstoeslag</t>
  </si>
  <si>
    <t>Begeleiding Basis</t>
  </si>
  <si>
    <t>Begeleiding specialistisch</t>
  </si>
  <si>
    <t>Begeleiding intensief</t>
  </si>
  <si>
    <t>Stap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</si>
  <si>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</si>
  <si>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</si>
  <si>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</si>
  <si>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</si>
  <si>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</si>
  <si>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</si>
  <si>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</si>
  <si>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</si>
  <si>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</si>
  <si>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</si>
  <si>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</si>
  <si>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</si>
  <si>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</si>
  <si>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</si>
  <si>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</si>
  <si>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</si>
  <si>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</si>
  <si>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</si>
  <si>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</si>
  <si>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</si>
  <si>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Bruto Loon</t>
  </si>
  <si>
    <t>Cliënten per medewerker</t>
  </si>
  <si>
    <t>Dagbesteding Ontwikkelgericht</t>
  </si>
  <si>
    <t>Jaarloon</t>
  </si>
  <si>
    <t>Totale loonkosten</t>
  </si>
  <si>
    <t>Overhead over totale loonkosten</t>
  </si>
  <si>
    <t>Totale kosten</t>
  </si>
  <si>
    <t xml:space="preserve">Marge </t>
  </si>
  <si>
    <t>12 * A</t>
  </si>
  <si>
    <t>BEGELEIDING</t>
  </si>
  <si>
    <t xml:space="preserve">DAGBESTEDING </t>
  </si>
  <si>
    <t>Uren per dagdeel</t>
  </si>
  <si>
    <t xml:space="preserve">Minuut tarief </t>
  </si>
  <si>
    <t>Berekening</t>
  </si>
  <si>
    <t>Huisvestingscomponent</t>
  </si>
  <si>
    <t>(in cel toegelicht met opmerking per product)</t>
  </si>
  <si>
    <t>B + C + D + E</t>
  </si>
  <si>
    <t>J / N</t>
  </si>
  <si>
    <t>Rekenpercentages</t>
  </si>
  <si>
    <t>Zie memo 'Advies uitgangspunten kostprijs berekeningen' en memo 'Cluster begeleiding' blz 4</t>
  </si>
  <si>
    <t>Zie opmerking in cel</t>
  </si>
  <si>
    <t>Gemiddelde van gehanteerde CAO's</t>
  </si>
  <si>
    <t>Tarief dagdeel</t>
  </si>
  <si>
    <t>Tarief per uur/dagdeel</t>
  </si>
  <si>
    <t xml:space="preserve">Uurtarief </t>
  </si>
  <si>
    <t>Uurtarief incl. marge</t>
  </si>
  <si>
    <t>Uren per jaar (36*52)</t>
  </si>
  <si>
    <t>Werkbare uren per jaar</t>
  </si>
  <si>
    <t xml:space="preserve">
Niet cliëntgebonden tijd</t>
  </si>
  <si>
    <t>Werkgeverskosten</t>
  </si>
  <si>
    <t>Conform memo Uitgangspunten</t>
  </si>
  <si>
    <t>Gemiddelde van gegevens uitvraag</t>
  </si>
  <si>
    <t>Niet toegepast nav advies HHM (blz 9)</t>
  </si>
  <si>
    <t>Productieve uren per jaar</t>
  </si>
  <si>
    <t>B * C</t>
  </si>
  <si>
    <t>B * D</t>
  </si>
  <si>
    <t xml:space="preserve">B * E </t>
  </si>
  <si>
    <t>F * G</t>
  </si>
  <si>
    <t>F * H</t>
  </si>
  <si>
    <t>F * I</t>
  </si>
  <si>
    <t>Op basis van uitvraag + bijdrage materiaalkosten</t>
  </si>
  <si>
    <t>Dagbesteding doorlopend</t>
  </si>
  <si>
    <t>Dagbesteding doorlopend specialistisch</t>
  </si>
  <si>
    <t>Opmerking</t>
  </si>
  <si>
    <t>Q*S / R</t>
  </si>
  <si>
    <t>O + O*P</t>
  </si>
  <si>
    <t>F + G + H +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</si>
</sst>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.0_ ;_ * \-#,##0.0_ ;_ * &quot;-&quot;??_ ;_ @_ "/>
    <numFmt numFmtId="166" formatCode="_ [$€-413]\ * #,##0.00_ ;_ [$€-413]\ * \-#,##0.00_ ;_ [$€-413]\ * &quot;-&quot;??_ ;_ @_ "/>
    <numFmt numFmtId="168" formatCode="_ &quot;€&quot;\ * #,##0.000000_ ;_ &quot;€&quot;\ * \-#,##0.000000_ ;_ &quot;€&quot;\ * &quot;-&quot;??_ ;_ @_ "/>
    <numFmt numFmtId="171" formatCode="_ [$€-413]\ * #,##0.000000_ ;_ [$€-413]\ * \-#,##0.000000_ ;_ [$€-413]\ * &quot;-&quot;??_ ;_ @_ "/>
    <numFmt numFmtId="172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5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2" borderId="2" xfId="4" applyBorder="1" applyAlignment="1">
      <alignment horizontal="center" wrapText="1"/>
    </xf>
    <xf numFmtId="166" fontId="1" fillId="3" borderId="2" xfId="5" applyNumberFormat="1" applyBorder="1" applyAlignment="1">
      <alignment wrapText="1"/>
    </xf>
    <xf numFmtId="166" fontId="1" fillId="3" borderId="2" xfId="5" applyNumberFormat="1" applyBorder="1" applyAlignment="1">
      <alignment vertical="center" wrapText="1"/>
    </xf>
    <xf numFmtId="44" fontId="0" fillId="0" borderId="0" xfId="2" applyFont="1"/>
    <xf numFmtId="166" fontId="0" fillId="0" borderId="0" xfId="0" applyNumberFormat="1"/>
    <xf numFmtId="10" fontId="3" fillId="2" borderId="2" xfId="3" applyNumberFormat="1" applyFont="1" applyFill="1" applyBorder="1" applyAlignment="1">
      <alignment horizontal="center" wrapText="1"/>
    </xf>
    <xf numFmtId="166" fontId="2" fillId="3" borderId="2" xfId="5" applyNumberFormat="1" applyFont="1" applyBorder="1" applyAlignment="1">
      <alignment wrapText="1"/>
    </xf>
    <xf numFmtId="10" fontId="3" fillId="2" borderId="2" xfId="3" applyNumberFormat="1" applyFont="1" applyFill="1" applyBorder="1" applyAlignment="1">
      <alignment horizontal="center" vertical="top" wrapText="1"/>
    </xf>
    <xf numFmtId="44" fontId="1" fillId="5" borderId="2" xfId="2" applyFill="1" applyBorder="1" applyAlignment="1">
      <alignment wrapText="1"/>
    </xf>
    <xf numFmtId="10" fontId="1" fillId="3" borderId="2" xfId="3" applyNumberFormat="1" applyFill="1" applyBorder="1" applyAlignment="1">
      <alignment vertical="center" wrapText="1"/>
    </xf>
    <xf numFmtId="0" fontId="3" fillId="2" borderId="0" xfId="4" applyBorder="1" applyAlignment="1">
      <alignment horizontal="center" wrapText="1"/>
    </xf>
    <xf numFmtId="0" fontId="0" fillId="0" borderId="0" xfId="0" applyFill="1"/>
    <xf numFmtId="0" fontId="3" fillId="0" borderId="0" xfId="4" applyFill="1" applyBorder="1" applyAlignment="1">
      <alignment horizontal="center" wrapText="1"/>
    </xf>
    <xf numFmtId="0" fontId="3" fillId="2" borderId="9" xfId="4" applyBorder="1" applyAlignment="1">
      <alignment horizontal="center" wrapText="1"/>
    </xf>
    <xf numFmtId="0" fontId="3" fillId="2" borderId="10" xfId="4" applyBorder="1" applyAlignment="1">
      <alignment horizontal="center" wrapText="1"/>
    </xf>
    <xf numFmtId="166" fontId="1" fillId="3" borderId="9" xfId="5" applyNumberFormat="1" applyBorder="1" applyAlignment="1">
      <alignment wrapText="1"/>
    </xf>
    <xf numFmtId="166" fontId="1" fillId="3" borderId="10" xfId="5" applyNumberFormat="1" applyBorder="1" applyAlignment="1">
      <alignment wrapText="1"/>
    </xf>
    <xf numFmtId="166" fontId="2" fillId="3" borderId="9" xfId="5" applyNumberFormat="1" applyFont="1" applyBorder="1" applyAlignment="1">
      <alignment wrapText="1"/>
    </xf>
    <xf numFmtId="166" fontId="2" fillId="3" borderId="10" xfId="5" applyNumberFormat="1" applyFont="1" applyBorder="1" applyAlignment="1">
      <alignment wrapText="1"/>
    </xf>
    <xf numFmtId="10" fontId="1" fillId="3" borderId="9" xfId="3" applyNumberFormat="1" applyFill="1" applyBorder="1" applyAlignment="1">
      <alignment vertical="center" wrapText="1"/>
    </xf>
    <xf numFmtId="10" fontId="1" fillId="3" borderId="10" xfId="3" applyNumberFormat="1" applyFill="1" applyBorder="1" applyAlignment="1">
      <alignment vertical="center" wrapText="1"/>
    </xf>
    <xf numFmtId="166" fontId="1" fillId="3" borderId="9" xfId="5" applyNumberFormat="1" applyBorder="1" applyAlignment="1">
      <alignment vertical="center" wrapText="1"/>
    </xf>
    <xf numFmtId="166" fontId="1" fillId="3" borderId="10" xfId="5" applyNumberFormat="1" applyBorder="1" applyAlignment="1">
      <alignment vertical="center" wrapText="1"/>
    </xf>
    <xf numFmtId="44" fontId="1" fillId="5" borderId="9" xfId="2" applyFill="1" applyBorder="1" applyAlignment="1">
      <alignment wrapText="1"/>
    </xf>
    <xf numFmtId="44" fontId="1" fillId="5" borderId="10" xfId="2" applyFill="1" applyBorder="1" applyAlignment="1">
      <alignment wrapText="1"/>
    </xf>
    <xf numFmtId="0" fontId="3" fillId="2" borderId="5" xfId="4" applyBorder="1" applyAlignment="1">
      <alignment horizontal="center" wrapText="1"/>
    </xf>
    <xf numFmtId="10" fontId="3" fillId="2" borderId="5" xfId="3" applyNumberFormat="1" applyFont="1" applyFill="1" applyBorder="1" applyAlignment="1">
      <alignment horizontal="center" wrapText="1"/>
    </xf>
    <xf numFmtId="0" fontId="3" fillId="0" borderId="11" xfId="4" applyFill="1" applyBorder="1" applyAlignment="1">
      <alignment horizontal="center" wrapText="1"/>
    </xf>
    <xf numFmtId="10" fontId="3" fillId="0" borderId="11" xfId="3" applyNumberFormat="1" applyFont="1" applyFill="1" applyBorder="1" applyAlignment="1">
      <alignment horizontal="center" wrapText="1"/>
    </xf>
    <xf numFmtId="0" fontId="6" fillId="0" borderId="7" xfId="6" applyFont="1" applyFill="1" applyBorder="1" applyAlignment="1"/>
    <xf numFmtId="0" fontId="3" fillId="2" borderId="12" xfId="4" applyBorder="1" applyAlignment="1">
      <alignment horizontal="center" wrapText="1"/>
    </xf>
    <xf numFmtId="10" fontId="1" fillId="3" borderId="12" xfId="5" applyNumberFormat="1" applyBorder="1" applyAlignment="1">
      <alignment horizontal="left" vertical="center" wrapText="1"/>
    </xf>
    <xf numFmtId="10" fontId="0" fillId="3" borderId="12" xfId="5" applyNumberFormat="1" applyFont="1" applyBorder="1" applyAlignment="1">
      <alignment horizontal="left" vertical="center" wrapText="1"/>
    </xf>
    <xf numFmtId="10" fontId="2" fillId="3" borderId="12" xfId="5" applyNumberFormat="1" applyFont="1" applyBorder="1" applyAlignment="1">
      <alignment horizontal="left" vertical="center" wrapText="1"/>
    </xf>
    <xf numFmtId="10" fontId="0" fillId="3" borderId="12" xfId="5" applyNumberFormat="1" applyFont="1" applyBorder="1" applyAlignment="1">
      <alignment horizontal="left" vertical="top" wrapText="1"/>
    </xf>
    <xf numFmtId="10" fontId="1" fillId="0" borderId="11" xfId="5" applyNumberFormat="1" applyFill="1" applyBorder="1" applyAlignment="1">
      <alignment horizontal="left" vertical="center" wrapText="1"/>
    </xf>
    <xf numFmtId="10" fontId="0" fillId="0" borderId="11" xfId="5" applyNumberFormat="1" applyFont="1" applyFill="1" applyBorder="1" applyAlignment="1">
      <alignment horizontal="left" vertical="center" wrapText="1"/>
    </xf>
    <xf numFmtId="10" fontId="2" fillId="0" borderId="11" xfId="5" applyNumberFormat="1" applyFont="1" applyFill="1" applyBorder="1" applyAlignment="1">
      <alignment horizontal="left" vertical="center" wrapText="1"/>
    </xf>
    <xf numFmtId="10" fontId="0" fillId="0" borderId="11" xfId="7" applyNumberFormat="1" applyFont="1" applyFill="1" applyBorder="1" applyAlignment="1">
      <alignment horizontal="left" vertical="center" wrapText="1"/>
    </xf>
    <xf numFmtId="171" fontId="1" fillId="3" borderId="9" xfId="5" applyNumberFormat="1" applyBorder="1" applyAlignment="1">
      <alignment vertical="center" wrapText="1"/>
    </xf>
    <xf numFmtId="171" fontId="1" fillId="3" borderId="2" xfId="5" applyNumberFormat="1" applyBorder="1" applyAlignment="1">
      <alignment vertical="center" wrapText="1"/>
    </xf>
    <xf numFmtId="171" fontId="1" fillId="3" borderId="10" xfId="5" applyNumberFormat="1" applyBorder="1" applyAlignment="1">
      <alignment vertical="center" wrapText="1"/>
    </xf>
    <xf numFmtId="166" fontId="1" fillId="3" borderId="14" xfId="5" applyNumberFormat="1" applyBorder="1" applyAlignment="1">
      <alignment vertical="center" wrapText="1"/>
    </xf>
    <xf numFmtId="0" fontId="7" fillId="2" borderId="0" xfId="4" applyFont="1" applyBorder="1" applyAlignment="1">
      <alignment horizontal="center" wrapText="1"/>
    </xf>
    <xf numFmtId="0" fontId="7" fillId="0" borderId="0" xfId="4" applyFont="1" applyFill="1" applyBorder="1" applyAlignment="1">
      <alignment horizontal="center" wrapText="1"/>
    </xf>
    <xf numFmtId="44" fontId="2" fillId="0" borderId="0" xfId="2" applyFont="1"/>
    <xf numFmtId="10" fontId="0" fillId="3" borderId="15" xfId="5" applyNumberFormat="1" applyFont="1" applyBorder="1" applyAlignment="1">
      <alignment horizontal="left" vertical="center" wrapText="1"/>
    </xf>
    <xf numFmtId="10" fontId="1" fillId="0" borderId="16" xfId="5" applyNumberFormat="1" applyFill="1" applyBorder="1" applyAlignment="1">
      <alignment horizontal="left" vertical="center" wrapText="1"/>
    </xf>
    <xf numFmtId="166" fontId="1" fillId="3" borderId="17" xfId="5" applyNumberFormat="1" applyBorder="1" applyAlignment="1">
      <alignment vertical="center" wrapText="1"/>
    </xf>
    <xf numFmtId="166" fontId="1" fillId="3" borderId="18" xfId="5" applyNumberFormat="1" applyBorder="1" applyAlignment="1">
      <alignment vertical="center" wrapText="1"/>
    </xf>
    <xf numFmtId="10" fontId="7" fillId="6" borderId="19" xfId="5" applyNumberFormat="1" applyFont="1" applyFill="1" applyBorder="1" applyAlignment="1">
      <alignment horizontal="left" vertical="center" wrapText="1"/>
    </xf>
    <xf numFmtId="166" fontId="0" fillId="3" borderId="12" xfId="5" applyNumberFormat="1" applyFont="1" applyBorder="1" applyAlignment="1">
      <alignment wrapText="1"/>
    </xf>
    <xf numFmtId="166" fontId="1" fillId="3" borderId="12" xfId="5" applyNumberFormat="1" applyBorder="1" applyAlignment="1">
      <alignment wrapText="1"/>
    </xf>
    <xf numFmtId="166" fontId="1" fillId="7" borderId="9" xfId="8" applyNumberFormat="1" applyBorder="1" applyAlignment="1">
      <alignment wrapText="1"/>
    </xf>
    <xf numFmtId="166" fontId="1" fillId="7" borderId="2" xfId="8" applyNumberFormat="1" applyBorder="1" applyAlignment="1">
      <alignment wrapText="1"/>
    </xf>
    <xf numFmtId="166" fontId="1" fillId="7" borderId="10" xfId="8" applyNumberFormat="1" applyBorder="1" applyAlignment="1">
      <alignment wrapText="1"/>
    </xf>
    <xf numFmtId="172" fontId="1" fillId="3" borderId="9" xfId="1" applyNumberFormat="1" applyFill="1" applyBorder="1" applyAlignment="1">
      <alignment wrapText="1"/>
    </xf>
    <xf numFmtId="172" fontId="1" fillId="3" borderId="2" xfId="1" applyNumberFormat="1" applyFill="1" applyBorder="1" applyAlignment="1">
      <alignment wrapText="1"/>
    </xf>
    <xf numFmtId="172" fontId="1" fillId="3" borderId="10" xfId="1" applyNumberFormat="1" applyFill="1" applyBorder="1" applyAlignment="1">
      <alignment wrapText="1"/>
    </xf>
    <xf numFmtId="172" fontId="1" fillId="3" borderId="9" xfId="1" applyNumberFormat="1" applyFill="1" applyBorder="1" applyAlignment="1">
      <alignment vertical="center" wrapText="1"/>
    </xf>
    <xf numFmtId="172" fontId="1" fillId="3" borderId="2" xfId="1" applyNumberFormat="1" applyFill="1" applyBorder="1" applyAlignment="1">
      <alignment vertical="center" wrapText="1"/>
    </xf>
    <xf numFmtId="172" fontId="1" fillId="3" borderId="10" xfId="1" applyNumberFormat="1" applyFill="1" applyBorder="1" applyAlignment="1">
      <alignment vertical="center" wrapText="1"/>
    </xf>
    <xf numFmtId="10" fontId="7" fillId="2" borderId="2" xfId="4" applyNumberFormat="1" applyFont="1" applyBorder="1" applyAlignment="1">
      <alignment horizontal="center" wrapText="1"/>
    </xf>
    <xf numFmtId="168" fontId="0" fillId="0" borderId="0" xfId="2" applyNumberFormat="1" applyFont="1"/>
    <xf numFmtId="9" fontId="0" fillId="0" borderId="11" xfId="3" applyFont="1" applyFill="1" applyBorder="1" applyAlignment="1">
      <alignment horizontal="left" vertical="top" wrapText="1"/>
    </xf>
    <xf numFmtId="10" fontId="2" fillId="0" borderId="20" xfId="5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6" borderId="6" xfId="6" applyFont="1" applyFill="1" applyBorder="1" applyAlignment="1">
      <alignment horizontal="center"/>
    </xf>
    <xf numFmtId="0" fontId="7" fillId="6" borderId="7" xfId="6" applyFont="1" applyFill="1" applyBorder="1" applyAlignment="1">
      <alignment horizontal="center"/>
    </xf>
    <xf numFmtId="0" fontId="7" fillId="6" borderId="6" xfId="6" applyFont="1" applyFill="1" applyBorder="1" applyAlignment="1">
      <alignment horizontal="center"/>
    </xf>
    <xf numFmtId="0" fontId="7" fillId="6" borderId="7" xfId="6" applyFont="1" applyFill="1" applyBorder="1" applyAlignment="1">
      <alignment horizontal="center"/>
    </xf>
    <xf numFmtId="0" fontId="7" fillId="6" borderId="8" xfId="6" applyFont="1" applyFill="1" applyBorder="1" applyAlignment="1">
      <alignment horizontal="center"/>
    </xf>
    <xf numFmtId="0" fontId="7" fillId="2" borderId="2" xfId="4" applyFont="1" applyBorder="1" applyAlignment="1">
      <alignment horizontal="center" wrapText="1"/>
    </xf>
    <xf numFmtId="166" fontId="0" fillId="0" borderId="0" xfId="0" applyNumberFormat="1" applyFill="1"/>
    <xf numFmtId="0" fontId="2" fillId="0" borderId="0" xfId="0" applyFont="1" applyFill="1"/>
    <xf numFmtId="164" fontId="1" fillId="3" borderId="9" xfId="1" applyNumberFormat="1" applyFill="1" applyBorder="1" applyAlignment="1">
      <alignment vertical="center" wrapText="1"/>
    </xf>
    <xf numFmtId="164" fontId="1" fillId="3" borderId="2" xfId="1" applyNumberFormat="1" applyFill="1" applyBorder="1" applyAlignment="1">
      <alignment vertical="center" wrapText="1"/>
    </xf>
    <xf numFmtId="164" fontId="1" fillId="3" borderId="10" xfId="1" applyNumberFormat="1" applyFill="1" applyBorder="1" applyAlignment="1">
      <alignment vertical="center" wrapText="1"/>
    </xf>
    <xf numFmtId="172" fontId="0" fillId="0" borderId="11" xfId="1" applyNumberFormat="1" applyFont="1" applyFill="1" applyBorder="1" applyAlignment="1">
      <alignment horizontal="left" vertical="center" wrapText="1"/>
    </xf>
    <xf numFmtId="172" fontId="0" fillId="0" borderId="0" xfId="1" applyNumberFormat="1" applyFont="1" applyFill="1"/>
    <xf numFmtId="49" fontId="0" fillId="3" borderId="12" xfId="5" applyNumberFormat="1" applyFont="1" applyBorder="1" applyAlignment="1">
      <alignment horizontal="left" vertical="top" wrapText="1"/>
    </xf>
    <xf numFmtId="49" fontId="1" fillId="3" borderId="12" xfId="5" applyNumberFormat="1" applyBorder="1" applyAlignment="1">
      <alignment horizontal="left" vertical="top" wrapText="1"/>
    </xf>
    <xf numFmtId="172" fontId="2" fillId="0" borderId="11" xfId="1" applyNumberFormat="1" applyFont="1" applyFill="1" applyBorder="1" applyAlignment="1">
      <alignment horizontal="left" vertical="center" wrapText="1"/>
    </xf>
    <xf numFmtId="10" fontId="2" fillId="5" borderId="12" xfId="7" applyNumberFormat="1" applyFont="1" applyBorder="1" applyAlignment="1">
      <alignment horizontal="left" vertical="center" wrapText="1"/>
    </xf>
    <xf numFmtId="172" fontId="1" fillId="0" borderId="11" xfId="1" applyNumberFormat="1" applyFill="1" applyBorder="1" applyAlignment="1">
      <alignment wrapText="1"/>
    </xf>
    <xf numFmtId="49" fontId="1" fillId="3" borderId="13" xfId="5" applyNumberFormat="1" applyBorder="1" applyAlignment="1">
      <alignment horizontal="left" vertical="top" wrapText="1"/>
    </xf>
    <xf numFmtId="172" fontId="2" fillId="3" borderId="2" xfId="1" applyNumberFormat="1" applyFont="1" applyFill="1" applyBorder="1" applyAlignment="1">
      <alignment vertical="center" wrapText="1"/>
    </xf>
    <xf numFmtId="172" fontId="2" fillId="3" borderId="10" xfId="1" applyNumberFormat="1" applyFont="1" applyFill="1" applyBorder="1" applyAlignment="1">
      <alignment vertical="center" wrapText="1"/>
    </xf>
    <xf numFmtId="172" fontId="2" fillId="3" borderId="9" xfId="1" applyNumberFormat="1" applyFont="1" applyFill="1" applyBorder="1" applyAlignment="1">
      <alignment vertical="center" wrapText="1"/>
    </xf>
    <xf numFmtId="49" fontId="0" fillId="3" borderId="15" xfId="5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0" fontId="7" fillId="6" borderId="22" xfId="5" applyNumberFormat="1" applyFont="1" applyFill="1" applyBorder="1" applyAlignment="1">
      <alignment horizontal="left" vertical="center" wrapText="1"/>
    </xf>
    <xf numFmtId="44" fontId="7" fillId="6" borderId="23" xfId="2" applyFont="1" applyFill="1" applyBorder="1" applyAlignment="1">
      <alignment horizontal="left" vertical="center" wrapText="1"/>
    </xf>
    <xf numFmtId="44" fontId="7" fillId="6" borderId="24" xfId="2" applyFont="1" applyFill="1" applyBorder="1" applyAlignment="1">
      <alignment horizontal="left" vertical="center" wrapText="1"/>
    </xf>
    <xf numFmtId="44" fontId="7" fillId="6" borderId="25" xfId="2" applyFont="1" applyFill="1" applyBorder="1" applyAlignment="1">
      <alignment horizontal="left" vertical="center" wrapText="1"/>
    </xf>
    <xf numFmtId="44" fontId="7" fillId="6" borderId="3" xfId="2" applyFont="1" applyFill="1" applyBorder="1" applyAlignment="1">
      <alignment horizontal="left" vertical="center" wrapText="1"/>
    </xf>
    <xf numFmtId="44" fontId="7" fillId="6" borderId="4" xfId="2" applyFont="1" applyFill="1" applyBorder="1" applyAlignment="1">
      <alignment horizontal="left" vertical="center" wrapText="1"/>
    </xf>
    <xf numFmtId="44" fontId="7" fillId="6" borderId="1" xfId="2" applyFont="1" applyFill="1" applyBorder="1" applyAlignment="1">
      <alignment horizontal="left" vertical="center" wrapText="1"/>
    </xf>
    <xf numFmtId="166" fontId="1" fillId="3" borderId="26" xfId="5" applyNumberFormat="1" applyBorder="1" applyAlignment="1">
      <alignment wrapText="1"/>
    </xf>
    <xf numFmtId="49" fontId="1" fillId="3" borderId="26" xfId="5" applyNumberFormat="1" applyBorder="1" applyAlignment="1">
      <alignment horizontal="left" vertical="top" wrapText="1"/>
    </xf>
    <xf numFmtId="0" fontId="7" fillId="0" borderId="8" xfId="6" applyFont="1" applyFill="1" applyBorder="1" applyAlignment="1">
      <alignment horizontal="center"/>
    </xf>
  </cellXfs>
  <cellStyles count="9">
    <cellStyle name="20% - Accent1" xfId="5" builtinId="30"/>
    <cellStyle name="20% - Accent4" xfId="7" builtinId="42"/>
    <cellStyle name="40% - Accent4" xfId="8" builtinId="43"/>
    <cellStyle name="Accent1" xfId="4" builtinId="29"/>
    <cellStyle name="Goed" xfId="6" builtinId="26"/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9"/>
  <sheetViews>
    <sheetView tabSelected="1" zoomScale="85" zoomScaleNormal="85" workbookViewId="0">
      <pane xSplit="4" ySplit="2" topLeftCell="E3" activePane="bottomRight" state="frozen"/>
      <selection pane="topRight"/>
      <selection pane="bottomLeft"/>
      <selection pane="bottomRight" activeCell="D7" sqref="D7"/>
    </sheetView>
  </sheetViews>
  <sheetFormatPr defaultRowHeight="15" x14ac:dyDescent="0.25"/>
  <cols>
    <col min="1" max="1" width="25.42578125" customWidth="1"/>
    <col min="2" max="2" width="6.140625" customWidth="1"/>
    <col min="3" max="3" width="2.85546875" style="13" customWidth="1"/>
    <col min="4" max="4" width="30.85546875" customWidth="1"/>
    <col min="5" max="5" width="4.5703125" bestFit="1" customWidth="1"/>
    <col min="6" max="8" width="25.42578125" customWidth="1"/>
    <col min="9" max="9" width="4.5703125" bestFit="1" customWidth="1"/>
    <col min="10" max="12" width="25.42578125" customWidth="1"/>
    <col min="13" max="13" width="3.28515625" style="13" customWidth="1"/>
    <col min="14" max="14" width="12.28515625" bestFit="1" customWidth="1"/>
    <col min="15" max="15" width="4.5703125" customWidth="1"/>
    <col min="16" max="16" width="20.42578125" customWidth="1"/>
    <col min="18" max="18" width="12.7109375" bestFit="1" customWidth="1"/>
    <col min="19" max="19" width="11.28515625" style="5" bestFit="1" customWidth="1"/>
    <col min="20" max="21" width="10.42578125" style="5" bestFit="1" customWidth="1"/>
  </cols>
  <sheetData>
    <row r="1" spans="1:19" x14ac:dyDescent="0.25">
      <c r="A1" s="69" t="s">
        <v>45</v>
      </c>
      <c r="B1" s="70"/>
      <c r="C1" s="103"/>
      <c r="D1" s="52"/>
      <c r="E1" s="31"/>
      <c r="F1" s="71" t="s">
        <v>36</v>
      </c>
      <c r="G1" s="72"/>
      <c r="H1" s="73"/>
      <c r="I1" s="31"/>
      <c r="J1" s="71" t="s">
        <v>37</v>
      </c>
      <c r="K1" s="72"/>
      <c r="L1" s="73"/>
      <c r="N1" s="52"/>
      <c r="P1" s="52"/>
    </row>
    <row r="2" spans="1:19" ht="60" x14ac:dyDescent="0.25">
      <c r="A2" s="74" t="s">
        <v>46</v>
      </c>
      <c r="B2" s="27"/>
      <c r="C2" s="29"/>
      <c r="D2" s="32" t="s">
        <v>6</v>
      </c>
      <c r="E2" s="29"/>
      <c r="F2" s="15" t="s">
        <v>3</v>
      </c>
      <c r="G2" s="2" t="s">
        <v>4</v>
      </c>
      <c r="H2" s="16" t="s">
        <v>5</v>
      </c>
      <c r="I2" s="29"/>
      <c r="J2" s="15" t="s">
        <v>68</v>
      </c>
      <c r="K2" s="2" t="s">
        <v>29</v>
      </c>
      <c r="L2" s="16" t="s">
        <v>69</v>
      </c>
      <c r="N2" s="32" t="s">
        <v>40</v>
      </c>
      <c r="P2" s="32" t="s">
        <v>70</v>
      </c>
    </row>
    <row r="3" spans="1:19" x14ac:dyDescent="0.25">
      <c r="A3" s="2"/>
      <c r="B3" s="27" t="s">
        <v>7</v>
      </c>
      <c r="C3" s="29"/>
      <c r="D3" s="33" t="s">
        <v>27</v>
      </c>
      <c r="E3" s="37"/>
      <c r="F3" s="55">
        <v>2660.01</v>
      </c>
      <c r="G3" s="56">
        <v>3050.98</v>
      </c>
      <c r="H3" s="57">
        <v>3331.17</v>
      </c>
      <c r="I3" s="37"/>
      <c r="J3" s="55">
        <v>2550</v>
      </c>
      <c r="K3" s="56">
        <v>2697.5762500000001</v>
      </c>
      <c r="L3" s="57">
        <v>2697.5762500000001</v>
      </c>
      <c r="M3" s="75"/>
      <c r="N3" s="54"/>
      <c r="P3" s="83"/>
    </row>
    <row r="4" spans="1:19" x14ac:dyDescent="0.25">
      <c r="A4" s="2"/>
      <c r="B4" s="27" t="s">
        <v>8</v>
      </c>
      <c r="C4" s="29"/>
      <c r="D4" s="34" t="s">
        <v>30</v>
      </c>
      <c r="E4" s="38"/>
      <c r="F4" s="17">
        <f>F3*12</f>
        <v>31920.120000000003</v>
      </c>
      <c r="G4" s="3">
        <f>G3*12</f>
        <v>36611.760000000002</v>
      </c>
      <c r="H4" s="18">
        <f>H3*12</f>
        <v>39974.04</v>
      </c>
      <c r="I4" s="38"/>
      <c r="J4" s="17">
        <f>J3*12</f>
        <v>30600</v>
      </c>
      <c r="K4" s="3">
        <f>K3*12</f>
        <v>32370.915000000001</v>
      </c>
      <c r="L4" s="18">
        <f>L3*12</f>
        <v>32370.915000000001</v>
      </c>
      <c r="M4" s="75"/>
      <c r="N4" s="54" t="s">
        <v>35</v>
      </c>
      <c r="P4" s="83"/>
    </row>
    <row r="5" spans="1:19" x14ac:dyDescent="0.25">
      <c r="A5" s="7">
        <v>0.08</v>
      </c>
      <c r="B5" s="28" t="s">
        <v>9</v>
      </c>
      <c r="C5" s="30"/>
      <c r="D5" s="34" t="s">
        <v>0</v>
      </c>
      <c r="E5" s="38"/>
      <c r="F5" s="17">
        <f>F4*$A5</f>
        <v>2553.6096000000002</v>
      </c>
      <c r="G5" s="3">
        <f t="shared" ref="G5:H5" si="0">G4*$A5</f>
        <v>2928.9408000000003</v>
      </c>
      <c r="H5" s="18">
        <f t="shared" si="0"/>
        <v>3197.9232000000002</v>
      </c>
      <c r="I5" s="38"/>
      <c r="J5" s="17">
        <f>J4*$A5</f>
        <v>2448</v>
      </c>
      <c r="K5" s="3">
        <f t="shared" ref="K5" si="1">K4*$A5</f>
        <v>2589.6732000000002</v>
      </c>
      <c r="L5" s="18">
        <f t="shared" ref="L5" si="2">L4*$A5</f>
        <v>2589.6732000000002</v>
      </c>
      <c r="M5" s="75"/>
      <c r="N5" s="53" t="s">
        <v>61</v>
      </c>
      <c r="P5" s="83"/>
    </row>
    <row r="6" spans="1:19" ht="30" x14ac:dyDescent="0.25">
      <c r="A6" s="7">
        <v>8.1100000000000005E-2</v>
      </c>
      <c r="B6" s="28" t="s">
        <v>10</v>
      </c>
      <c r="C6" s="30"/>
      <c r="D6" s="34" t="s">
        <v>1</v>
      </c>
      <c r="E6" s="38"/>
      <c r="F6" s="17">
        <f>F4*$A$6</f>
        <v>2588.7217320000004</v>
      </c>
      <c r="G6" s="3">
        <f t="shared" ref="G6:H6" si="3">G4*$A$6</f>
        <v>2969.2137360000002</v>
      </c>
      <c r="H6" s="18">
        <f t="shared" si="3"/>
        <v>3241.8946440000004</v>
      </c>
      <c r="I6" s="38"/>
      <c r="J6" s="17">
        <f>J4*$A$6</f>
        <v>2481.6600000000003</v>
      </c>
      <c r="K6" s="3">
        <f t="shared" ref="K6" si="4">K4*$A$6</f>
        <v>2625.2812065000003</v>
      </c>
      <c r="L6" s="18">
        <f t="shared" ref="L6" si="5">L4*$A$6</f>
        <v>2625.2812065000003</v>
      </c>
      <c r="M6" s="75"/>
      <c r="N6" s="53" t="s">
        <v>62</v>
      </c>
      <c r="P6" s="82" t="s">
        <v>48</v>
      </c>
    </row>
    <row r="7" spans="1:19" ht="30" x14ac:dyDescent="0.25">
      <c r="A7" s="7" t="s">
        <v>42</v>
      </c>
      <c r="B7" s="28" t="s">
        <v>11</v>
      </c>
      <c r="C7" s="30"/>
      <c r="D7" s="34" t="s">
        <v>2</v>
      </c>
      <c r="E7" s="38"/>
      <c r="F7" s="17">
        <f>+(4%*11%)*F4</f>
        <v>140.44852800000001</v>
      </c>
      <c r="G7" s="3">
        <f>+(4.76%*13.29%)*G4</f>
        <v>231.60745823039997</v>
      </c>
      <c r="H7" s="18">
        <f>+(9.08%*15.42%)*H4</f>
        <v>559.6909246944</v>
      </c>
      <c r="I7" s="38"/>
      <c r="J7" s="17">
        <f>+(2.42%*6.77%)*J4</f>
        <v>50.133203999999992</v>
      </c>
      <c r="K7" s="3">
        <f>+(9.17%*11%)*K4</f>
        <v>326.52541960500002</v>
      </c>
      <c r="L7" s="18">
        <f>+(6.56%*10.35%)*L4</f>
        <v>219.78556448399996</v>
      </c>
      <c r="M7" s="75"/>
      <c r="N7" s="53" t="s">
        <v>63</v>
      </c>
      <c r="P7" s="82" t="s">
        <v>47</v>
      </c>
    </row>
    <row r="8" spans="1:19" x14ac:dyDescent="0.25">
      <c r="A8" s="2"/>
      <c r="B8" s="27" t="s">
        <v>12</v>
      </c>
      <c r="C8" s="29"/>
      <c r="D8" s="35" t="s">
        <v>31</v>
      </c>
      <c r="E8" s="39"/>
      <c r="F8" s="19">
        <f>SUM(F4:F7)</f>
        <v>37202.899860000005</v>
      </c>
      <c r="G8" s="8">
        <f>SUM(G4:G7)</f>
        <v>42741.521994230403</v>
      </c>
      <c r="H8" s="20">
        <f>SUM(H4:H7)</f>
        <v>46973.548768694396</v>
      </c>
      <c r="I8" s="39"/>
      <c r="J8" s="19">
        <f t="shared" ref="J8:K8" si="6">SUM(J4:J7)</f>
        <v>35579.793204000001</v>
      </c>
      <c r="K8" s="8">
        <f t="shared" si="6"/>
        <v>37912.394826105003</v>
      </c>
      <c r="L8" s="20">
        <f t="shared" ref="L8" si="7">SUM(L4:L7)</f>
        <v>37805.654970984004</v>
      </c>
      <c r="M8" s="75"/>
      <c r="N8" s="53" t="s">
        <v>43</v>
      </c>
      <c r="P8" s="82"/>
    </row>
    <row r="9" spans="1:19" x14ac:dyDescent="0.25">
      <c r="A9" s="7">
        <f>0.25735+0.9%</f>
        <v>0.26635000000000003</v>
      </c>
      <c r="B9" s="27" t="s">
        <v>13</v>
      </c>
      <c r="C9" s="29"/>
      <c r="D9" s="34" t="s">
        <v>56</v>
      </c>
      <c r="E9" s="38"/>
      <c r="F9" s="17">
        <f>F8*$A9</f>
        <v>9908.9923777110016</v>
      </c>
      <c r="G9" s="3">
        <f t="shared" ref="G9:H9" si="8">G8*$A9</f>
        <v>11384.204383163269</v>
      </c>
      <c r="H9" s="18">
        <f t="shared" si="8"/>
        <v>12511.404714541753</v>
      </c>
      <c r="I9" s="38"/>
      <c r="J9" s="17">
        <f>J8*$A9</f>
        <v>9476.6779198854019</v>
      </c>
      <c r="K9" s="3">
        <f t="shared" ref="K9" si="9">K8*$A9</f>
        <v>10097.966361933069</v>
      </c>
      <c r="L9" s="18">
        <f t="shared" ref="L9" si="10">L8*$A9</f>
        <v>10069.536201521591</v>
      </c>
      <c r="M9" s="75"/>
      <c r="N9" s="53" t="s">
        <v>64</v>
      </c>
      <c r="P9" s="82"/>
      <c r="R9" s="6"/>
    </row>
    <row r="10" spans="1:19" ht="14.25" customHeight="1" x14ac:dyDescent="0.25">
      <c r="A10" s="9">
        <v>0.44640000000000002</v>
      </c>
      <c r="B10" s="28" t="s">
        <v>14</v>
      </c>
      <c r="C10" s="30"/>
      <c r="D10" s="36" t="s">
        <v>32</v>
      </c>
      <c r="E10" s="66"/>
      <c r="F10" s="17">
        <f>F8*$A10</f>
        <v>16607.374497504003</v>
      </c>
      <c r="G10" s="3">
        <f t="shared" ref="G10:H10" si="11">G8*$A10</f>
        <v>19079.815418224454</v>
      </c>
      <c r="H10" s="18">
        <f t="shared" si="11"/>
        <v>20968.99217034518</v>
      </c>
      <c r="I10" s="38"/>
      <c r="J10" s="17">
        <f>J8*$A10</f>
        <v>15882.8196862656</v>
      </c>
      <c r="K10" s="3">
        <f t="shared" ref="K10" si="12">K8*$A10</f>
        <v>16924.093050373274</v>
      </c>
      <c r="L10" s="18">
        <f t="shared" ref="L10" si="13">L8*$A10</f>
        <v>16876.444379047261</v>
      </c>
      <c r="M10" s="75"/>
      <c r="N10" s="53" t="s">
        <v>65</v>
      </c>
      <c r="P10" s="82"/>
      <c r="R10" s="6"/>
    </row>
    <row r="11" spans="1:19" ht="30" x14ac:dyDescent="0.25">
      <c r="A11" s="64">
        <v>0.12</v>
      </c>
      <c r="B11" s="28" t="s">
        <v>15</v>
      </c>
      <c r="C11" s="30"/>
      <c r="D11" s="34" t="s">
        <v>41</v>
      </c>
      <c r="E11" s="37"/>
      <c r="F11" s="23"/>
      <c r="G11" s="4"/>
      <c r="H11" s="24"/>
      <c r="I11" s="37"/>
      <c r="J11" s="23">
        <f>+J8*$A$11</f>
        <v>4269.5751844799997</v>
      </c>
      <c r="K11" s="4">
        <f>+K8*$A$11</f>
        <v>4549.4873791325999</v>
      </c>
      <c r="L11" s="24">
        <f>+L8*$A$11</f>
        <v>4536.6785965180807</v>
      </c>
      <c r="M11" s="75"/>
      <c r="N11" s="53" t="s">
        <v>66</v>
      </c>
      <c r="P11" s="82" t="s">
        <v>58</v>
      </c>
      <c r="R11" s="6"/>
      <c r="S11" s="65"/>
    </row>
    <row r="12" spans="1:19" x14ac:dyDescent="0.25">
      <c r="A12" s="2"/>
      <c r="B12" s="27" t="s">
        <v>16</v>
      </c>
      <c r="C12" s="29"/>
      <c r="D12" s="35" t="s">
        <v>33</v>
      </c>
      <c r="E12" s="39"/>
      <c r="F12" s="19">
        <f>SUM(F8:F10)</f>
        <v>63719.266735215009</v>
      </c>
      <c r="G12" s="8">
        <f>SUM(G8:G10)</f>
        <v>73205.541795618134</v>
      </c>
      <c r="H12" s="20">
        <f>SUM(H8:H10)</f>
        <v>80453.945653581337</v>
      </c>
      <c r="I12" s="39"/>
      <c r="J12" s="19">
        <f>SUM(J8:J11)</f>
        <v>65208.865994631007</v>
      </c>
      <c r="K12" s="8">
        <f>SUM(K8:K11)</f>
        <v>69483.94161754394</v>
      </c>
      <c r="L12" s="20">
        <f>SUM(L8:L11)</f>
        <v>69288.314148070931</v>
      </c>
      <c r="M12" s="75"/>
      <c r="N12" s="53" t="s">
        <v>73</v>
      </c>
      <c r="P12" s="82"/>
    </row>
    <row r="13" spans="1:19" x14ac:dyDescent="0.25">
      <c r="A13" s="2"/>
      <c r="B13" s="27"/>
      <c r="C13" s="29"/>
      <c r="D13" s="34"/>
      <c r="E13" s="38"/>
      <c r="F13" s="17"/>
      <c r="G13" s="3"/>
      <c r="H13" s="18"/>
      <c r="I13" s="38"/>
      <c r="J13" s="17"/>
      <c r="K13" s="3"/>
      <c r="L13" s="18"/>
      <c r="M13" s="75"/>
      <c r="N13" s="54"/>
      <c r="P13" s="83"/>
    </row>
    <row r="14" spans="1:19" x14ac:dyDescent="0.25">
      <c r="A14" s="2"/>
      <c r="B14" s="28" t="s">
        <v>17</v>
      </c>
      <c r="C14" s="30"/>
      <c r="D14" s="34" t="s">
        <v>53</v>
      </c>
      <c r="E14" s="38"/>
      <c r="F14" s="58">
        <f>36*52</f>
        <v>1872</v>
      </c>
      <c r="G14" s="59">
        <f t="shared" ref="G14:H14" si="14">36*52</f>
        <v>1872</v>
      </c>
      <c r="H14" s="60">
        <f t="shared" si="14"/>
        <v>1872</v>
      </c>
      <c r="I14" s="80"/>
      <c r="J14" s="58">
        <f>36*52</f>
        <v>1872</v>
      </c>
      <c r="K14" s="59">
        <f t="shared" ref="K14:L14" si="15">36*52</f>
        <v>1872</v>
      </c>
      <c r="L14" s="60">
        <f t="shared" si="15"/>
        <v>1872</v>
      </c>
      <c r="M14" s="81"/>
      <c r="N14" s="54"/>
      <c r="P14" s="91" t="s">
        <v>57</v>
      </c>
    </row>
    <row r="15" spans="1:19" x14ac:dyDescent="0.25">
      <c r="A15" s="2"/>
      <c r="B15" s="28" t="s">
        <v>18</v>
      </c>
      <c r="C15" s="30"/>
      <c r="D15" s="34" t="s">
        <v>54</v>
      </c>
      <c r="E15" s="38"/>
      <c r="F15" s="61">
        <v>1620</v>
      </c>
      <c r="G15" s="62">
        <v>1620</v>
      </c>
      <c r="H15" s="63">
        <v>1620</v>
      </c>
      <c r="I15" s="80"/>
      <c r="J15" s="61">
        <v>1620</v>
      </c>
      <c r="K15" s="62">
        <v>1620</v>
      </c>
      <c r="L15" s="63">
        <v>1620</v>
      </c>
      <c r="M15" s="81"/>
      <c r="N15" s="54"/>
      <c r="P15" s="92"/>
    </row>
    <row r="16" spans="1:19" ht="30" x14ac:dyDescent="0.25">
      <c r="A16" s="2"/>
      <c r="B16" s="27" t="s">
        <v>19</v>
      </c>
      <c r="C16" s="29"/>
      <c r="D16" s="34" t="s">
        <v>55</v>
      </c>
      <c r="E16" s="37"/>
      <c r="F16" s="58">
        <f>G15-G17</f>
        <v>330</v>
      </c>
      <c r="G16" s="59">
        <f>H15-H17</f>
        <v>330</v>
      </c>
      <c r="H16" s="60">
        <f>I15-I17</f>
        <v>0</v>
      </c>
      <c r="I16" s="86"/>
      <c r="J16" s="58">
        <v>320</v>
      </c>
      <c r="K16" s="59">
        <v>320</v>
      </c>
      <c r="L16" s="60">
        <v>320</v>
      </c>
      <c r="M16" s="6"/>
      <c r="N16" s="87"/>
      <c r="P16" s="92"/>
    </row>
    <row r="17" spans="1:21" x14ac:dyDescent="0.25">
      <c r="A17" s="2"/>
      <c r="B17" s="28" t="s">
        <v>20</v>
      </c>
      <c r="C17" s="30"/>
      <c r="D17" s="35" t="s">
        <v>60</v>
      </c>
      <c r="E17" s="39"/>
      <c r="F17" s="90">
        <v>1290</v>
      </c>
      <c r="G17" s="88">
        <v>1290</v>
      </c>
      <c r="H17" s="89">
        <v>1290</v>
      </c>
      <c r="I17" s="84"/>
      <c r="J17" s="90">
        <v>1290</v>
      </c>
      <c r="K17" s="88">
        <v>1290</v>
      </c>
      <c r="L17" s="89">
        <v>1290</v>
      </c>
      <c r="M17" s="81"/>
      <c r="N17" s="54"/>
      <c r="P17" s="93"/>
    </row>
    <row r="18" spans="1:21" x14ac:dyDescent="0.25">
      <c r="A18" s="2"/>
      <c r="B18" s="27"/>
      <c r="C18" s="29"/>
      <c r="D18" s="33"/>
      <c r="E18" s="37"/>
      <c r="F18" s="23"/>
      <c r="G18" s="4"/>
      <c r="H18" s="24"/>
      <c r="I18" s="37"/>
      <c r="J18" s="23"/>
      <c r="K18" s="4"/>
      <c r="L18" s="24"/>
      <c r="M18" s="75"/>
      <c r="N18" s="54"/>
      <c r="P18" s="83"/>
    </row>
    <row r="19" spans="1:21" x14ac:dyDescent="0.25">
      <c r="A19" s="2"/>
      <c r="B19" s="27" t="s">
        <v>21</v>
      </c>
      <c r="C19" s="29"/>
      <c r="D19" s="34" t="s">
        <v>51</v>
      </c>
      <c r="E19" s="38"/>
      <c r="F19" s="23">
        <f>F12/F17</f>
        <v>49.394780414895358</v>
      </c>
      <c r="G19" s="4">
        <f>G12/G17</f>
        <v>56.748482012107083</v>
      </c>
      <c r="H19" s="24">
        <f>H12/H17</f>
        <v>62.367399731458399</v>
      </c>
      <c r="I19" s="38"/>
      <c r="J19" s="23">
        <f>J12/J17</f>
        <v>50.549508522969774</v>
      </c>
      <c r="K19" s="4">
        <f>K12/K17</f>
        <v>53.863520633754995</v>
      </c>
      <c r="L19" s="24">
        <f>L12/L17</f>
        <v>53.711871432613123</v>
      </c>
      <c r="M19" s="75"/>
      <c r="N19" s="53" t="s">
        <v>44</v>
      </c>
      <c r="P19" s="82"/>
    </row>
    <row r="20" spans="1:21" ht="30" x14ac:dyDescent="0.25">
      <c r="A20" s="2"/>
      <c r="B20" s="27" t="s">
        <v>22</v>
      </c>
      <c r="C20" s="29"/>
      <c r="D20" s="34" t="s">
        <v>34</v>
      </c>
      <c r="E20" s="38"/>
      <c r="F20" s="21">
        <v>0</v>
      </c>
      <c r="G20" s="11">
        <v>0</v>
      </c>
      <c r="H20" s="22">
        <v>0</v>
      </c>
      <c r="I20" s="38"/>
      <c r="J20" s="21">
        <v>0</v>
      </c>
      <c r="K20" s="11">
        <v>0</v>
      </c>
      <c r="L20" s="22">
        <v>0</v>
      </c>
      <c r="M20" s="75"/>
      <c r="N20" s="54"/>
      <c r="O20" s="6"/>
      <c r="P20" s="82" t="s">
        <v>59</v>
      </c>
    </row>
    <row r="21" spans="1:21" x14ac:dyDescent="0.25">
      <c r="A21" s="2"/>
      <c r="B21" s="28" t="s">
        <v>23</v>
      </c>
      <c r="C21" s="30"/>
      <c r="D21" s="85" t="s">
        <v>52</v>
      </c>
      <c r="E21" s="40"/>
      <c r="F21" s="25">
        <f>+F19+((F12/F17)*F20)</f>
        <v>49.394780414895358</v>
      </c>
      <c r="G21" s="10">
        <f>+G19+((G12/G17)*G20)</f>
        <v>56.748482012107083</v>
      </c>
      <c r="H21" s="26">
        <f>+H19+((H12/H17)*H20)</f>
        <v>62.367399731458399</v>
      </c>
      <c r="I21" s="40"/>
      <c r="J21" s="23">
        <f>+J19+((J12/J17)*J20)</f>
        <v>50.549508522969774</v>
      </c>
      <c r="K21" s="4">
        <f>+K19+((K12/K17)*K20)</f>
        <v>53.863520633754995</v>
      </c>
      <c r="L21" s="24">
        <f>+L19+((L12/L17)*L20)</f>
        <v>53.711871432613123</v>
      </c>
      <c r="M21" s="75"/>
      <c r="N21" s="53" t="s">
        <v>72</v>
      </c>
      <c r="P21" s="82"/>
    </row>
    <row r="22" spans="1:21" x14ac:dyDescent="0.25">
      <c r="A22" s="2"/>
      <c r="B22" s="28"/>
      <c r="C22" s="30"/>
      <c r="D22" s="33"/>
      <c r="E22" s="37"/>
      <c r="F22" s="23"/>
      <c r="G22" s="4"/>
      <c r="H22" s="24"/>
      <c r="I22" s="37"/>
      <c r="J22" s="23"/>
      <c r="K22" s="4"/>
      <c r="L22" s="24"/>
      <c r="M22" s="75"/>
      <c r="N22" s="54"/>
      <c r="P22" s="83"/>
    </row>
    <row r="23" spans="1:21" x14ac:dyDescent="0.25">
      <c r="A23" s="2"/>
      <c r="B23" s="28" t="s">
        <v>24</v>
      </c>
      <c r="C23" s="30"/>
      <c r="D23" s="33" t="s">
        <v>28</v>
      </c>
      <c r="E23" s="37"/>
      <c r="F23" s="23"/>
      <c r="G23" s="4"/>
      <c r="H23" s="24"/>
      <c r="I23" s="37"/>
      <c r="J23" s="61">
        <v>6</v>
      </c>
      <c r="K23" s="62">
        <v>5</v>
      </c>
      <c r="L23" s="63">
        <v>4</v>
      </c>
      <c r="M23" s="75"/>
      <c r="N23" s="54"/>
      <c r="P23" s="83"/>
    </row>
    <row r="24" spans="1:21" ht="45" x14ac:dyDescent="0.25">
      <c r="A24" s="2"/>
      <c r="B24" s="28" t="s">
        <v>25</v>
      </c>
      <c r="C24" s="30"/>
      <c r="D24" s="33" t="s">
        <v>38</v>
      </c>
      <c r="E24" s="37"/>
      <c r="F24" s="23"/>
      <c r="G24" s="4"/>
      <c r="H24" s="24"/>
      <c r="I24" s="37"/>
      <c r="J24" s="77">
        <v>3.6</v>
      </c>
      <c r="K24" s="78">
        <v>3.6</v>
      </c>
      <c r="L24" s="79">
        <v>3.6</v>
      </c>
      <c r="M24" s="75"/>
      <c r="N24" s="54"/>
      <c r="P24" s="82" t="s">
        <v>67</v>
      </c>
    </row>
    <row r="25" spans="1:21" x14ac:dyDescent="0.25">
      <c r="A25" s="2"/>
      <c r="B25" s="27" t="s">
        <v>26</v>
      </c>
      <c r="C25" s="29"/>
      <c r="D25" s="85" t="s">
        <v>49</v>
      </c>
      <c r="E25" s="37"/>
      <c r="F25" s="23"/>
      <c r="G25" s="4"/>
      <c r="H25" s="24"/>
      <c r="I25" s="37"/>
      <c r="J25" s="25">
        <f>(J21/J23)*J24</f>
        <v>30.329705113781866</v>
      </c>
      <c r="K25" s="10">
        <f>(K21/K23)*K24</f>
        <v>38.781734856303594</v>
      </c>
      <c r="L25" s="26">
        <f>(L21/L23)*L24</f>
        <v>48.340684289351813</v>
      </c>
      <c r="N25" s="53" t="s">
        <v>71</v>
      </c>
      <c r="O25" s="6"/>
      <c r="P25" s="82"/>
    </row>
    <row r="26" spans="1:21" x14ac:dyDescent="0.25">
      <c r="A26" s="12"/>
      <c r="B26" s="12"/>
      <c r="C26" s="14"/>
      <c r="D26" s="34" t="s">
        <v>39</v>
      </c>
      <c r="E26" s="37"/>
      <c r="F26" s="41">
        <f>F21/60</f>
        <v>0.82324634024825594</v>
      </c>
      <c r="G26" s="42">
        <f>G21/60</f>
        <v>0.945808033535118</v>
      </c>
      <c r="H26" s="43">
        <f>H21/60</f>
        <v>1.0394566621909733</v>
      </c>
      <c r="I26" s="37"/>
      <c r="J26" s="23"/>
      <c r="K26" s="4"/>
      <c r="L26" s="24"/>
      <c r="N26" s="54"/>
      <c r="P26" s="83"/>
    </row>
    <row r="27" spans="1:21" x14ac:dyDescent="0.25">
      <c r="A27" s="12"/>
      <c r="B27" s="12"/>
      <c r="C27" s="14"/>
      <c r="D27" s="48" t="s">
        <v>39</v>
      </c>
      <c r="E27" s="49"/>
      <c r="F27" s="50">
        <f>ROUND(F26,2)</f>
        <v>0.82</v>
      </c>
      <c r="G27" s="44">
        <f t="shared" ref="G27" si="16">ROUND(G26,2)</f>
        <v>0.95</v>
      </c>
      <c r="H27" s="51">
        <f>ROUND(H26,2)</f>
        <v>1.04</v>
      </c>
      <c r="I27" s="49"/>
      <c r="J27" s="23"/>
      <c r="K27" s="4"/>
      <c r="L27" s="24"/>
      <c r="N27" s="54"/>
      <c r="P27" s="83"/>
    </row>
    <row r="28" spans="1:21" s="1" customFormat="1" ht="15.75" thickBot="1" x14ac:dyDescent="0.3">
      <c r="A28" s="45"/>
      <c r="B28" s="45"/>
      <c r="C28" s="46"/>
      <c r="D28" s="94" t="s">
        <v>50</v>
      </c>
      <c r="E28" s="67"/>
      <c r="F28" s="95">
        <f>F27*60</f>
        <v>49.199999999999996</v>
      </c>
      <c r="G28" s="96">
        <f t="shared" ref="G28" si="17">G27*60</f>
        <v>57</v>
      </c>
      <c r="H28" s="97">
        <f>H27*60</f>
        <v>62.400000000000006</v>
      </c>
      <c r="I28" s="67"/>
      <c r="J28" s="98">
        <f>+J25</f>
        <v>30.329705113781866</v>
      </c>
      <c r="K28" s="99">
        <f>+K25</f>
        <v>38.781734856303594</v>
      </c>
      <c r="L28" s="100">
        <f>+L25</f>
        <v>48.340684289351813</v>
      </c>
      <c r="M28" s="76"/>
      <c r="N28" s="101"/>
      <c r="P28" s="102"/>
      <c r="S28" s="47"/>
      <c r="T28" s="47"/>
      <c r="U28" s="47"/>
    </row>
    <row r="29" spans="1:21" x14ac:dyDescent="0.25">
      <c r="A29" s="68"/>
      <c r="B29" s="68"/>
      <c r="C29" s="68"/>
      <c r="D29" s="68"/>
      <c r="E29" s="68"/>
      <c r="F29" s="68"/>
      <c r="G29" s="68"/>
      <c r="H29" s="68"/>
      <c r="I29" s="68"/>
    </row>
  </sheetData>
  <mergeCells count="3">
    <mergeCell ref="J1:L1"/>
    <mergeCell ref="F1:H1"/>
    <mergeCell ref="P14:P17"/>
  </mergeCells>
  <pageMargins left="0.7" right="0.7" top="0.75" bottom="0.75" header="0.3" footer="0.3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Tarieven BG en DB</vt:lpstr>
    </vt:vector>
  </TitlesOfParts>
  <Company>Gemeente Gouda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Bakelaar;Frank Feliks</dc:creator>
  <cp:lastModifiedBy>Frank Feliks</cp:lastModifiedBy>
  <cp:lastPrinted>2017-09-28T06:49:18Z</cp:lastPrinted>
  <dcterms:created xsi:type="dcterms:W3CDTF">2017-06-19T06:47:10Z</dcterms:created>
  <dcterms:modified xsi:type="dcterms:W3CDTF">2020-06-11T13:42:41Z</dcterms:modified>
</cp:coreProperties>
</file>